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5790" windowWidth="19155" windowHeight="5850" tabRatio="856" activeTab="0"/>
  </bookViews>
  <sheets>
    <sheet name="International comparisons-2011" sheetId="1" r:id="rId1"/>
    <sheet name="footnotes" sheetId="2" r:id="rId2"/>
    <sheet name="working copy" sheetId="3" r:id="rId3"/>
    <sheet name="Table 2.4.1 - AK" sheetId="4" r:id="rId4"/>
    <sheet name="Table 1.1" sheetId="5" r:id="rId5"/>
    <sheet name="Table 2.2.4c" sheetId="6" r:id="rId6"/>
    <sheet name="Table 2.2.5" sheetId="7" r:id="rId7"/>
    <sheet name="Table 2.2.6" sheetId="8" r:id="rId8"/>
    <sheet name="Table 2.2.7" sheetId="9" r:id="rId9"/>
    <sheet name="Table 2.3.3" sheetId="10" r:id="rId10"/>
    <sheet name="Table 2.3.4" sheetId="11" r:id="rId11"/>
    <sheet name="Table 2.3.5" sheetId="12" r:id="rId12"/>
    <sheet name="Table 2.3.6" sheetId="13" r:id="rId13"/>
    <sheet name="Table 2.3.7" sheetId="14" r:id="rId14"/>
    <sheet name="Table 2.4.1" sheetId="15" r:id="rId15"/>
    <sheet name="Table 2.5.1" sheetId="16" r:id="rId16"/>
    <sheet name="Table 2.5.2" sheetId="17" r:id="rId17"/>
    <sheet name="Table 2.5.3" sheetId="18" r:id="rId18"/>
    <sheet name="Table 2.6.2" sheetId="19" r:id="rId19"/>
    <sheet name="Table 2.6.4" sheetId="20" r:id="rId20"/>
    <sheet name="Table 2.6.5" sheetId="21" r:id="rId21"/>
    <sheet name="Table 2.6.6" sheetId="22" r:id="rId22"/>
    <sheet name="Table 2.7.1" sheetId="23" r:id="rId2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comparisons-2011'!$A$1:$AV$89</definedName>
    <definedName name="_xlnm.Print_Titles" localSheetId="0">'International comparisons-2011'!$A:$L,'International comparisons-2011'!$1:$8</definedName>
  </definedNames>
  <calcPr fullCalcOnLoad="1"/>
</workbook>
</file>

<file path=xl/sharedStrings.xml><?xml version="1.0" encoding="utf-8"?>
<sst xmlns="http://schemas.openxmlformats.org/spreadsheetml/2006/main" count="4202" uniqueCount="356">
  <si>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</si>
  <si>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</si>
  <si>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</si>
  <si>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</si>
  <si>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</si>
  <si>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</si>
  <si>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</si>
  <si>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</si>
  <si>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</si>
  <si>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</si>
  <si>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</si>
  <si>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</si>
  <si>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</si>
  <si>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</si>
  <si>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</si>
  <si>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</si>
  <si>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</si>
  <si>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</si>
  <si>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</si>
  <si>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</si>
  <si>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</si>
  <si>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</si>
  <si>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</si>
  <si>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</si>
  <si>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</si>
  <si>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</si>
  <si>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</si>
  <si>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</si>
  <si>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Passenger transport</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</si>
  <si>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</si>
  <si>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</si>
  <si>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</si>
  <si>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</si>
  <si>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</si>
  <si>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</si>
  <si>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</si>
  <si>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</si>
  <si>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</si>
  <si>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</si>
  <si>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</si>
  <si>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</si>
  <si>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</si>
  <si>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</si>
  <si>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</si>
  <si>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</si>
  <si>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</si>
  <si>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</si>
  <si>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</si>
  <si>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</si>
  <si>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</si>
  <si>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</si>
  <si>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</si>
  <si>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</si>
  <si>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</si>
  <si>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</si>
  <si>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</si>
  <si>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</si>
  <si>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</si>
  <si>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</si>
  <si>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</si>
  <si>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</si>
  <si>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</si>
  <si>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</si>
  <si>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</si>
  <si>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</si>
  <si>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</si>
  <si>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</si>
  <si>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</si>
  <si>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</si>
  <si>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</si>
  <si>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</si>
  <si>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</si>
  <si>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</si>
  <si>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</si>
  <si>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</si>
  <si>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</si>
  <si>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</si>
  <si>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</si>
  <si>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</si>
  <si>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</si>
  <si>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</si>
  <si>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</si>
  <si>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</si>
  <si>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</si>
  <si>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</si>
  <si>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</si>
  <si>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</si>
  <si>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</si>
  <si>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</si>
  <si>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</si>
  <si>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</si>
  <si>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</si>
  <si>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</si>
  <si>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</si>
  <si>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</si>
  <si>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</si>
  <si>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</si>
  <si>
    <t>( $ )</t>
  </si>
  <si>
    <t>1.1</t>
  </si>
  <si>
    <t>The definitions of road types vary from country to country.  Some countries' figures may include the lengths of some roads which do not have a hard surface.</t>
  </si>
  <si>
    <t xml:space="preserve"> </t>
  </si>
  <si>
    <t>In general, n-a is used where a figure is not available, and 0 is used where a figure is nil.  However, n-a may be treated as if it were 0 for the purpose of some calculations.</t>
  </si>
  <si>
    <t>BG</t>
  </si>
  <si>
    <t>RO</t>
  </si>
  <si>
    <t>Bulgaria</t>
  </si>
  <si>
    <t>Romania</t>
  </si>
  <si>
    <t>EU-27</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</si>
  <si>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</si>
  <si>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</si>
  <si>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</si>
  <si>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</si>
  <si>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</si>
  <si>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</si>
  <si>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</si>
  <si>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Modal shares </t>
    </r>
    <r>
      <rPr>
        <sz val="12"/>
        <rFont val="Arial"/>
        <family val="2"/>
      </rPr>
      <t>(% of total pass-kms for specified modes)</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</si>
  <si>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</si>
  <si>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</si>
  <si>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n-a or 0</t>
  </si>
  <si>
    <t xml:space="preserve">EU-27  </t>
  </si>
  <si>
    <t xml:space="preserve">EU-15 </t>
  </si>
  <si>
    <t>Excludes 'other roads' data</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</si>
  <si>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</si>
  <si>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</si>
  <si>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</si>
  <si>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</si>
  <si>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</si>
  <si>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</si>
  <si>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</si>
  <si>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</si>
  <si>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 xml:space="preserve">( # )  ( + )  ( @ )  ( $ )  (^)  ( * )  ( ** )  ( *** )   -  see footnotes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</si>
  <si>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</si>
  <si>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</si>
  <si>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</si>
  <si>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</si>
  <si>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</si>
  <si>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</si>
  <si>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</si>
  <si>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</si>
  <si>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</si>
  <si>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</si>
  <si>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</si>
  <si>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</si>
  <si>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</si>
  <si>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</si>
  <si>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</si>
  <si>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</si>
  <si>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</si>
  <si>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</si>
  <si>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2.3.4 *</t>
  </si>
  <si>
    <t>n-a</t>
  </si>
  <si>
    <t>2.3.5 *</t>
  </si>
  <si>
    <t>2.3.6 *</t>
  </si>
  <si>
    <t>2.3.7 *</t>
  </si>
  <si>
    <t>As shown in (or as calculated from figures in) a previous edition - the 2012 edition does not provide any figures for powered two-wheelers, cycling or walking.</t>
  </si>
  <si>
    <t>Data calculated by adding together the total number of journeys across each row in Table 2.4.1</t>
  </si>
  <si>
    <t>GB figures taken from TSGB table TSGB0401 except for Inland waterways (UK figure used)</t>
  </si>
  <si>
    <t>Note GB figures taken from NTS0305.  Scotland figures taken from NTS Scotland results Table 3, apart from 2 wheeled vehicles taken from traffic esitmates.</t>
  </si>
  <si>
    <t>Scottish figure (same or a similar basis)  ( # )</t>
  </si>
  <si>
    <t>-</t>
  </si>
  <si>
    <t>change 10/11</t>
  </si>
  <si>
    <t>%</t>
  </si>
  <si>
    <t>EU27</t>
  </si>
  <si>
    <t>EU15</t>
  </si>
  <si>
    <t>EU12</t>
  </si>
  <si>
    <t>HR</t>
  </si>
  <si>
    <t>MK</t>
  </si>
  <si>
    <t>TR</t>
  </si>
  <si>
    <t>IS</t>
  </si>
  <si>
    <t>NO</t>
  </si>
  <si>
    <t>CH</t>
  </si>
  <si>
    <t>2.4.1</t>
  </si>
  <si>
    <t>Air: Passenger Traffic between Member States</t>
  </si>
  <si>
    <t>Total passengers carried* including domestic flights (1000)</t>
  </si>
  <si>
    <t>Partner &gt;&gt;&gt;&gt;&gt;</t>
  </si>
  <si>
    <t>Reporter</t>
  </si>
  <si>
    <t>Greece</t>
  </si>
  <si>
    <t xml:space="preserve">Luxem- bourg </t>
  </si>
  <si>
    <t>Malta</t>
  </si>
  <si>
    <t>Nether- lands</t>
  </si>
  <si>
    <t>Slovakia</t>
  </si>
  <si>
    <t>United Kingdom</t>
  </si>
  <si>
    <t>Croatia</t>
  </si>
  <si>
    <t>Source: Eurostat, estimates (in italics)</t>
  </si>
  <si>
    <t xml:space="preserve">Note: </t>
  </si>
  <si>
    <t>*: passengers carried are fewer than passengers on board, due to transit passengers staying on board the aircraft not being counted.</t>
  </si>
  <si>
    <t>Road Fatalities</t>
  </si>
  <si>
    <t>change 01/11</t>
  </si>
  <si>
    <r>
      <t>Source</t>
    </r>
    <r>
      <rPr>
        <sz val="8"/>
        <rFont val="Arial"/>
        <family val="2"/>
      </rPr>
      <t>: From 1991: CARE database (DG Mobility and Transport), International Transport Forum, national sources. 1990: IRTAD (OECD)</t>
    </r>
  </si>
  <si>
    <r>
      <t>Notes</t>
    </r>
    <r>
      <rPr>
        <sz val="8"/>
        <rFont val="Arial"/>
        <family val="2"/>
      </rPr>
      <t>: Persons killed are all persons deceased within 30 days of the accident. Corrective factors have been applied to the figures which did not follow this definition.</t>
    </r>
  </si>
  <si>
    <t xml:space="preserve">Austria, Belgium, Denmark, Finland, France, Germany, Greece, Ireland, Italy, Luxembourg, </t>
  </si>
  <si>
    <t>Netherlands, Portugal, Spain, Sweden and United Kingdom.</t>
  </si>
  <si>
    <t>Population check</t>
  </si>
  <si>
    <t>Modal Split of Passenger Transport on Land by Country</t>
  </si>
  <si>
    <t>passenger-km in %</t>
  </si>
  <si>
    <t>Passenger Cars</t>
  </si>
  <si>
    <t>Buses and Coaches</t>
  </si>
  <si>
    <t>Tram &amp; Metro</t>
  </si>
  <si>
    <t>Notes:</t>
  </si>
  <si>
    <t xml:space="preserve">If powered two-wheelers are included, they account for 2.07% of the total in EU27 (2.07% in EU15, 2.06% in EU12), while the share of the other modes becomes: </t>
  </si>
  <si>
    <t>Source: tables 2.3.4, 2.3.5, 2.3.6, 2.3.7</t>
  </si>
  <si>
    <t>2.3.4</t>
  </si>
  <si>
    <t>thousand mio pkm</t>
  </si>
  <si>
    <r>
      <t>Source</t>
    </r>
    <r>
      <rPr>
        <sz val="8"/>
        <rFont val="Arial"/>
        <family val="2"/>
      </rPr>
      <t>: national statistics, International Transport Forum, Eurostat, estimates</t>
    </r>
    <r>
      <rPr>
        <i/>
        <sz val="8"/>
        <rFont val="Arial"/>
        <family val="2"/>
      </rPr>
      <t xml:space="preserve"> (in italics)</t>
    </r>
  </si>
  <si>
    <t>Data are not harmonised and therefore not fully comparable. Many data for 2011 are provisional.</t>
  </si>
  <si>
    <r>
      <t>BE:</t>
    </r>
    <r>
      <rPr>
        <sz val="8"/>
        <rFont val="Arial"/>
        <family val="2"/>
      </rPr>
      <t xml:space="preserve"> include pkm by vehicles registered as light goods vehicles but used as personal cars</t>
    </r>
  </si>
  <si>
    <r>
      <t>UK:</t>
    </r>
    <r>
      <rPr>
        <sz val="8"/>
        <rFont val="Arial"/>
        <family val="2"/>
      </rPr>
      <t xml:space="preserve"> data refer to Great Britain only; include pkm by vans</t>
    </r>
  </si>
  <si>
    <r>
      <t xml:space="preserve">DE: </t>
    </r>
    <r>
      <rPr>
        <sz val="8"/>
        <rFont val="Arial"/>
        <family val="2"/>
      </rPr>
      <t>incl.</t>
    </r>
    <r>
      <rPr>
        <b/>
        <sz val="8"/>
        <rFont val="Arial"/>
        <family val="2"/>
      </rPr>
      <t>DE-E:</t>
    </r>
    <r>
      <rPr>
        <sz val="8"/>
        <rFont val="Arial"/>
        <family val="2"/>
      </rPr>
      <t xml:space="preserve"> 1970=24.5, 1980=56.0, 1990=90.3</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</si>
  <si>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</si>
  <si>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</si>
  <si>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</si>
  <si>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CS:</t>
    </r>
    <r>
      <rPr>
        <sz val="8"/>
        <rFont val="Arial"/>
        <family val="2"/>
      </rPr>
      <t xml:space="preserve"> 1990: 43.4 (included in EU27 and EU12 totals)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</si>
  <si>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</si>
  <si>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</si>
  <si>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</si>
  <si>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</si>
  <si>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Data are not harmonised and therefore not fully comparable across countries.</t>
  </si>
  <si>
    <r>
      <t xml:space="preserve">FR: </t>
    </r>
    <r>
      <rPr>
        <sz val="8"/>
        <rFont val="Arial"/>
        <family val="2"/>
      </rPr>
      <t>data refer to the Paris Metro and RER (Réseau Express Régional) systems and to metros in other French cities</t>
    </r>
  </si>
  <si>
    <r>
      <t>PT:</t>
    </r>
    <r>
      <rPr>
        <sz val="8"/>
        <rFont val="Arial"/>
        <family val="2"/>
      </rPr>
      <t xml:space="preserve"> data refer only to Lisbon and Porto Metro</t>
    </r>
  </si>
  <si>
    <t>2.3.7</t>
  </si>
  <si>
    <t>Source</t>
  </si>
  <si>
    <t>Estimate</t>
  </si>
  <si>
    <t>ITF</t>
  </si>
  <si>
    <t>EUROSTAT</t>
  </si>
  <si>
    <t>Comptes du transport</t>
  </si>
  <si>
    <t>CNIT</t>
  </si>
  <si>
    <t>HU Stat</t>
  </si>
  <si>
    <t>UIC</t>
  </si>
  <si>
    <t>Gudrun Stranner</t>
  </si>
  <si>
    <t>Trafa</t>
  </si>
  <si>
    <t>NO Stat</t>
  </si>
  <si>
    <r>
      <t>Source</t>
    </r>
    <r>
      <rPr>
        <sz val="8"/>
        <rFont val="Arial"/>
        <family val="2"/>
      </rPr>
      <t>: Eurostat, International Transport Forum, Union Internationale des Chemins de Fer, national statistics, estimates (italics)</t>
    </r>
  </si>
  <si>
    <t>Cells read in from Table 2.3.4 sheet, then converted by mutliplying by 1000 (to convert to million passenger kms) then divided by population to get a figure per person.</t>
  </si>
  <si>
    <t>Cells read in from Table 2.3.5 sheet, then converted by mutliplying by 1000 (to convert to million passenger kms) then divided by population to get a figure per person.</t>
  </si>
  <si>
    <t>Cells read in from Table 2.3.6 sheet, then converted by mutliplying by 1000 (to convert to million passenger kms) then divided by population to get a figure per person.</t>
  </si>
  <si>
    <t>Cells read in from Table 2.3.7 sheet, then converted by mutliplying by 1000 (to convert to million passenger kms) then divided by population to get a figure per person.</t>
  </si>
  <si>
    <t>General Data</t>
  </si>
  <si>
    <t>Population</t>
  </si>
  <si>
    <t>GDP (nominal)</t>
  </si>
  <si>
    <t>GDP per head</t>
  </si>
  <si>
    <t>in PPP</t>
  </si>
  <si>
    <t>1000 km2</t>
  </si>
  <si>
    <t>€ billion</t>
  </si>
  <si>
    <t>EU27 = 100</t>
  </si>
  <si>
    <t>on 1/1/2012</t>
  </si>
  <si>
    <r>
      <t xml:space="preserve">Source:  </t>
    </r>
    <r>
      <rPr>
        <sz val="8"/>
        <rFont val="Arial"/>
        <family val="2"/>
      </rPr>
      <t>Eurostat, estimates (in italics)</t>
    </r>
  </si>
  <si>
    <t xml:space="preserve">Notes: </t>
  </si>
  <si>
    <r>
      <t xml:space="preserve">CY: </t>
    </r>
    <r>
      <rPr>
        <sz val="8"/>
        <rFont val="Arial"/>
        <family val="2"/>
      </rPr>
      <t>Area refers to the whole island.</t>
    </r>
  </si>
  <si>
    <r>
      <t xml:space="preserve">FR: </t>
    </r>
    <r>
      <rPr>
        <sz val="8"/>
        <rFont val="Arial"/>
        <family val="2"/>
      </rPr>
      <t>Area and population only cover mainland France ("France métropolitaine"). The 4 French overseas departments Guyane, Martinique, Guadeloupe and La Réunion, which are part of the EU, have a combined area of 88 794 km2 and a population of around 1.9 million. The total area of the EU therefore is 4 413.6 thousand km2, its total population on 1 January 2012 was 503.7 million.</t>
    </r>
  </si>
  <si>
    <r>
      <t xml:space="preserve">EL RO PT HR: </t>
    </r>
    <r>
      <rPr>
        <sz val="8"/>
        <rFont val="Arial"/>
        <family val="2"/>
      </rPr>
      <t xml:space="preserve">provisional data (nominal GDP - GDP per capita) </t>
    </r>
    <r>
      <rPr>
        <b/>
        <sz val="8"/>
        <rFont val="Arial"/>
        <family val="2"/>
      </rPr>
      <t xml:space="preserve">MK: </t>
    </r>
    <r>
      <rPr>
        <sz val="8"/>
        <rFont val="Arial"/>
        <family val="2"/>
      </rPr>
      <t>forecast (nominal GDP)</t>
    </r>
  </si>
  <si>
    <t>Most data on population is provisional</t>
  </si>
  <si>
    <t xml:space="preserve">Road : Length of Motorways  </t>
  </si>
  <si>
    <t>(at end of year)</t>
  </si>
  <si>
    <t>ESTAT</t>
  </si>
  <si>
    <t>DK STAT</t>
  </si>
  <si>
    <t>IE Transport Yearbook</t>
  </si>
  <si>
    <t xml:space="preserve">- </t>
  </si>
  <si>
    <t>LU Stat</t>
  </si>
  <si>
    <t>UNECE</t>
  </si>
  <si>
    <t>NL Statistical yearbook</t>
  </si>
  <si>
    <t>SE Statistical yearbook</t>
  </si>
  <si>
    <r>
      <t>Source</t>
    </r>
    <r>
      <rPr>
        <sz val="8"/>
        <rFont val="Arial"/>
        <family val="2"/>
      </rPr>
      <t>: Eurostat, International Road Federation, United Nations Economic Commission for Europe, national statistics, estimates (</t>
    </r>
    <r>
      <rPr>
        <i/>
        <sz val="8"/>
        <rFont val="Arial"/>
        <family val="2"/>
      </rPr>
      <t>in italics</t>
    </r>
    <r>
      <rPr>
        <sz val="8"/>
        <rFont val="Arial"/>
        <family val="2"/>
      </rPr>
      <t xml:space="preserve">) </t>
    </r>
  </si>
  <si>
    <r>
      <t>Notes</t>
    </r>
    <r>
      <rPr>
        <sz val="8"/>
        <rFont val="Arial"/>
        <family val="2"/>
      </rPr>
      <t xml:space="preserve">: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</si>
  <si>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</si>
  <si>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</si>
  <si>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</si>
  <si>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</si>
  <si>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</si>
  <si>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r>
      <t xml:space="preserve">km at the end of </t>
    </r>
    <r>
      <rPr>
        <b/>
        <sz val="10"/>
        <rFont val="Arial"/>
        <family val="2"/>
      </rPr>
      <t>2010</t>
    </r>
  </si>
  <si>
    <t>Main or national roads</t>
  </si>
  <si>
    <t>Secondary or regional roads</t>
  </si>
  <si>
    <t>Other roads*</t>
  </si>
  <si>
    <r>
      <t>Source</t>
    </r>
    <r>
      <rPr>
        <sz val="8"/>
        <rFont val="Arial"/>
        <family val="2"/>
      </rPr>
      <t xml:space="preserve">:  International Road Federation, national statistics, estimates </t>
    </r>
    <r>
      <rPr>
        <i/>
        <sz val="8"/>
        <rFont val="Arial"/>
        <family val="2"/>
      </rPr>
      <t>(in italics</t>
    </r>
    <r>
      <rPr>
        <sz val="8"/>
        <rFont val="Arial"/>
        <family val="2"/>
      </rPr>
      <t>)</t>
    </r>
  </si>
  <si>
    <t xml:space="preserve">*: the definition of road types varies from country to country, the data are therefore not comparable. </t>
  </si>
  <si>
    <t xml:space="preserve">"Other roads" sometimes includes roads without a hard surface. </t>
  </si>
  <si>
    <r>
      <t>IE EL</t>
    </r>
    <r>
      <rPr>
        <sz val="8"/>
        <rFont val="Arial"/>
        <family val="2"/>
      </rPr>
      <t xml:space="preserve"> end of 2009 </t>
    </r>
    <r>
      <rPr>
        <b/>
        <sz val="8"/>
        <rFont val="Arial"/>
        <family val="2"/>
      </rPr>
      <t>MT</t>
    </r>
    <r>
      <rPr>
        <sz val="8"/>
        <rFont val="Arial"/>
        <family val="2"/>
      </rPr>
      <t xml:space="preserve"> end of 2005 (except for motorways)</t>
    </r>
  </si>
  <si>
    <t>Railways : Length of Lines in Use</t>
  </si>
  <si>
    <t>of which: Electrified</t>
  </si>
  <si>
    <r>
      <t>Source</t>
    </r>
    <r>
      <rPr>
        <sz val="8"/>
        <rFont val="Arial"/>
        <family val="2"/>
      </rPr>
      <t>: Union Internationale des Chemins de Fer, national statistics, Eurostat, estimates (in italics)</t>
    </r>
  </si>
  <si>
    <r>
      <t xml:space="preserve">DE: </t>
    </r>
    <r>
      <rPr>
        <sz val="8"/>
        <rFont val="Arial"/>
        <family val="2"/>
      </rPr>
      <t xml:space="preserve">includes </t>
    </r>
    <r>
      <rPr>
        <b/>
        <sz val="8"/>
        <rFont val="Arial"/>
        <family val="2"/>
      </rPr>
      <t>DE-E</t>
    </r>
    <r>
      <rPr>
        <sz val="8"/>
        <rFont val="Arial"/>
        <family val="2"/>
      </rPr>
      <t xml:space="preserve">: 1970=14250,  1980=14248,  1990=14031 </t>
    </r>
  </si>
  <si>
    <r>
      <t xml:space="preserve">CS: </t>
    </r>
    <r>
      <rPr>
        <sz val="8"/>
        <rFont val="Arial"/>
        <family val="2"/>
      </rPr>
      <t>1970: 13308, 1980: 13131, 1990: 13111   (these are included in EU27 and EU12 totals)</t>
    </r>
  </si>
  <si>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</si>
  <si>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</si>
  <si>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</si>
  <si>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</si>
  <si>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</si>
  <si>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</si>
  <si>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</si>
  <si>
    <t>Taxis are usually included.</t>
  </si>
  <si>
    <r>
      <rPr>
        <b/>
        <sz val="8"/>
        <rFont val="Arial"/>
        <family val="2"/>
      </rPr>
      <t>HR:</t>
    </r>
    <r>
      <rPr>
        <sz val="8"/>
        <rFont val="Arial"/>
        <family val="2"/>
      </rPr>
      <t xml:space="preserve"> from 2009 light vans are included in passenger cars and no longer in Good Vehicles</t>
    </r>
  </si>
  <si>
    <t xml:space="preserve">    Road : Goods Vehicles</t>
  </si>
  <si>
    <t xml:space="preserve">  </t>
  </si>
  <si>
    <r>
      <t xml:space="preserve">Source: </t>
    </r>
    <r>
      <rPr>
        <sz val="8"/>
        <rFont val="Arial"/>
        <family val="2"/>
      </rPr>
      <t xml:space="preserve"> Eurostat, national statistics, United Nations Economic Commission for Europe, estimates (in italics)</t>
    </r>
  </si>
  <si>
    <t>Stock at end of year, except for BE: 1 August, CH: 30 September, LI: 1 July.</t>
  </si>
  <si>
    <t>As a rule, data include heavy and light goods vehicles, lorries and road tractors; due to varying concepts of such vehicles, data are not fully comparable between countries.</t>
  </si>
  <si>
    <t>HR: from 2009 light vans are included in passenger cars and no longer in Good Vehicles</t>
  </si>
  <si>
    <t>2.6.5</t>
  </si>
  <si>
    <t>Road : Powered Two-wheelers</t>
  </si>
  <si>
    <t>Source: national statistics, Association des Constructeurs Européens de Motocycles (ACEM).</t>
  </si>
  <si>
    <t>National vehicle stock data do not always include all powered two-wheelers and are therefore not fully comparable between countries.</t>
  </si>
  <si>
    <t>Tricycles and quads are sometimes included in the data.</t>
  </si>
  <si>
    <t>Break in time series due to inclusion of mopeds from 2001 in ES, from 2002 in SI and HR, from 2004 in LV, from 2005 in PL, from 2007 in LT, from 2011 in EE</t>
  </si>
  <si>
    <t>New vehicle registrations</t>
  </si>
  <si>
    <t>change 11/12 (%)</t>
  </si>
  <si>
    <r>
      <t>Source</t>
    </r>
    <r>
      <rPr>
        <sz val="8"/>
        <rFont val="Arial"/>
        <family val="2"/>
      </rPr>
      <t xml:space="preserve">: Association des Constructeurs Européens d'Automobiles (ACEA), national sources estimates </t>
    </r>
    <r>
      <rPr>
        <i/>
        <sz val="8"/>
        <rFont val="Arial"/>
        <family val="2"/>
      </rPr>
      <t>(italics)</t>
    </r>
  </si>
  <si>
    <r>
      <t>RO</t>
    </r>
    <r>
      <rPr>
        <sz val="8"/>
        <rFont val="Arial"/>
        <family val="2"/>
      </rPr>
      <t>: Sales</t>
    </r>
  </si>
  <si>
    <t>2.2.4c</t>
  </si>
  <si>
    <t>Road : National and International Haulage(*)</t>
  </si>
  <si>
    <t>Haulage by Vehicles Registered in the Reporting Country</t>
  </si>
  <si>
    <t>thousand mio tkm</t>
  </si>
  <si>
    <t>TR(1)</t>
  </si>
  <si>
    <t>CH(2)</t>
  </si>
  <si>
    <t>Source: Eurostat, International Transport Forum, national statistics (CH, MK), estimates (in italics)</t>
  </si>
  <si>
    <t>(*) (including cross-trade and cabotage)</t>
  </si>
  <si>
    <t>Only haulage of heavy goods vehicles (usually &gt;3.5 tonnes load capacity)</t>
  </si>
  <si>
    <t>(1): TR, IS: national transport only</t>
  </si>
  <si>
    <t>(2): CH: in contrast to the data for other countries, until 2007 the Swiss data do not include that part of international journeys by Swiss hauliers that takes place outside Switzerland.</t>
  </si>
  <si>
    <t>2.2.5</t>
  </si>
  <si>
    <t>Source:  Eurostat, International Transport Forum, Union Internationale des Chemins de Fer, national statistics</t>
  </si>
  <si>
    <t>Notes: CS: 1990: 59.4 (included in EU-27 and EU-12 totals)</t>
  </si>
  <si>
    <t>2010Q4</t>
  </si>
  <si>
    <t>2011Q1</t>
  </si>
  <si>
    <t>2011Q2</t>
  </si>
  <si>
    <t>2011Q3</t>
  </si>
  <si>
    <t>2011Q4</t>
  </si>
  <si>
    <t>2.2.6</t>
  </si>
  <si>
    <t>Inland Waterways</t>
  </si>
  <si>
    <t>Source:  Eurostat, International Transport Forum, national statistics, estimates (in italics)</t>
  </si>
  <si>
    <t>FI: only shipborne transport (i.e. no floating)</t>
  </si>
  <si>
    <t>CS: 1990: 4.42 (included in EU-27 and EU-12 totals)</t>
  </si>
  <si>
    <t xml:space="preserve">IT, LT, FI and UK: data include only national traffic. </t>
  </si>
  <si>
    <t xml:space="preserve">BG and RO: data include transit traffic from 2009 (and partially in 2008) </t>
  </si>
  <si>
    <t>HR: data include transit traffic from 2008 onward</t>
  </si>
  <si>
    <t>2.2.7</t>
  </si>
  <si>
    <t>Pipelines (Oil)</t>
  </si>
  <si>
    <t xml:space="preserve">      </t>
  </si>
  <si>
    <t xml:space="preserve">     </t>
  </si>
  <si>
    <t>Source:  National statistics, International Transport Forum, Eurostat, estimates (in italics)</t>
  </si>
  <si>
    <t>CS: 1990: 7.5</t>
  </si>
  <si>
    <t>DE: from 1995 onwards: only crude oil (i.e. no refined petroleum products)</t>
  </si>
  <si>
    <t>Fatalities</t>
  </si>
  <si>
    <t>Inland Waterway</t>
  </si>
  <si>
    <t>International air passengers</t>
  </si>
  <si>
    <r>
      <t xml:space="preserve">from </t>
    </r>
    <r>
      <rPr>
        <i/>
        <sz val="12"/>
        <rFont val="Arial"/>
        <family val="2"/>
      </rPr>
      <t xml:space="preserve">EU Energy and Transport in Figures    (2013 edition) </t>
    </r>
  </si>
  <si>
    <t xml:space="preserve">Excluding Other roads (U roads) </t>
  </si>
  <si>
    <t>New registrations of passenger cars</t>
  </si>
  <si>
    <t>2.3.3  (^)</t>
  </si>
  <si>
    <t>(^)</t>
  </si>
  <si>
    <t>UK figure is fo GB only.</t>
  </si>
  <si>
    <r>
      <t xml:space="preserve">Freight transport: modal shares </t>
    </r>
    <r>
      <rPr>
        <sz val="12"/>
        <rFont val="Arial"/>
        <family val="2"/>
      </rPr>
      <t>(Thousand million tonne-kms)</t>
    </r>
  </si>
  <si>
    <t>GB figure from table TSGB0601 of TSGB 2011. UK figure is GB figure plus NI figure from NITS 2012-13 Table 6.5</t>
  </si>
  <si>
    <t>GB figure from VEH0103.  UK figure is GB figure plus NI total taken from Table 1.7 of NITS 2012-13</t>
  </si>
  <si>
    <t>GB figure from TSGB0901.  UK figure includes NI data from Table 1.7 of NITS 2012-13</t>
  </si>
  <si>
    <t>NI data from NITS table 1.7</t>
  </si>
  <si>
    <t>NI data from NITS table 1.11</t>
  </si>
  <si>
    <t>Note: figures for GB and Scotland are taken from DfT road lengths publication rdl0201.  Data differs from TS data due to different methodology. NI figure from NITS.</t>
  </si>
  <si>
    <t>Total  pass km these modes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</si>
</sst>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
    <numFmt numFmtId="168" formatCode="0.00000"/>
    <numFmt numFmtId="169" formatCode="0.0000"/>
    <numFmt numFmtId="170" formatCode="_-* #,##0.0_-;\-* #,##0.0_-;_-* &quot;-&quot;??_-;_-@_-"/>
    <numFmt numFmtId="171" formatCode="_-* #,##0_-;\-* #,##0_-;_-* &quot;-&quot;??_-;_-@_-"/>
    <numFmt numFmtId="172" formatCode="#,##0.0000"/>
    <numFmt numFmtId="173" formatCode="General_)"/>
    <numFmt numFmtId="174" formatCode="#,##0.0_);\(#,##0.0\)"/>
    <numFmt numFmtId="175" formatCode="#,##0\ "/>
    <numFmt numFmtId="176" formatCode="##0\ "/>
    <numFmt numFmtId="177" formatCode="#,##0.0\ "/>
    <numFmt numFmtId="178" formatCode="0.0\ \ \ \ "/>
    <numFmt numFmtId="179" formatCode="0.0\ \ \ "/>
    <numFmt numFmtId="180" formatCode="_-* #,##0.0_-;\-* #,##0.0_-;_-* &quot;-&quot;_-;_-@_-"/>
    <numFmt numFmtId="181" formatCode="#,##0.00\ "/>
    <numFmt numFmtId="182" formatCode="0.000000"/>
    <numFmt numFmtId="183" formatCode="0.0000000"/>
    <numFmt numFmtId="184" formatCode="_-* #,##0.000_-;\-* #,##0.000_-;_-* &quot;-&quot;??_-;_-@_-"/>
    <numFmt numFmtId="185" formatCode="[&gt;0.5]#,##0;[&lt;-0.5]\-#,##0;\-"/>
    <numFmt numFmtId="186" formatCode="#,##0_ ;\-#,##0\ "/>
    <numFmt numFmtId="187" formatCode="&quot;Yes&quot;;&quot;Yes&quot;;&quot;No&quot;"/>
    <numFmt numFmtId="188" formatCode="&quot;True&quot;;&quot;True&quot;;&quot;False&quot;"/>
    <numFmt numFmtId="189" formatCode="&quot;On&quot;;&quot;On&quot;;&quot;Off&quot;"/>
    <numFmt numFmtId="190" formatCode="[$€-2]\ #,##0.00_);[Red]\([$€-2]\ #,##0.00\)"/>
    <numFmt numFmtId="191" formatCode="_-* #,##0.0_-;\-* #,##0.0_-;_-* &quot;-&quot;?_-;_-@_-"/>
    <numFmt numFmtId="192" formatCode="_-* #,##0.0000_-;\-* #,##0.0000_-;_-* &quot;-&quot;??_-;_-@_-"/>
    <numFmt numFmtId="193" formatCode="_-* #,##0.00000_-;\-* #,##0.00000_-;_-* &quot;-&quot;??_-;_-@_-"/>
    <numFmt numFmtId="194" formatCode="0.0%"/>
    <numFmt numFmtId="195" formatCode="#\ ##0"/>
    <numFmt numFmtId="196" formatCode="0.0\ "/>
    <numFmt numFmtId="197" formatCode="\-"/>
    <numFmt numFmtId="198" formatCode="_-* #,##0.00_-;\-* #,##0.00_-;_-* &quot;-&quot;?_-;_-@_-"/>
    <numFmt numFmtId="199" formatCode="_-* #,##0_-;\-* #,##0_-;_-* &quot;-&quot;?_-;_-@_-"/>
    <numFmt numFmtId="200" formatCode="#,##0.0_ ;\-#,##0.0\ "/>
    <numFmt numFmtId="201" formatCode="#\ ###"/>
    <numFmt numFmtId="202" formatCode="##0\ \ "/>
    <numFmt numFmtId="203" formatCode="#,##0_);\-#,##0;&quot;-  &quot;;&quot;...  &quot;"/>
    <numFmt numFmtId="204" formatCode="#,##0.0\ \ "/>
    <numFmt numFmtId="205" formatCode="#,###,##0"/>
    <numFmt numFmtId="206" formatCode="0.00\ "/>
    <numFmt numFmtId="207" formatCode="_-* #,##0.00\ _F_t_-;\-* #,##0.00\ _F_t_-;_-* &quot;-&quot;??\ _F_t_-;_-@_-"/>
    <numFmt numFmtId="208" formatCode="0.0_ ;[Red]\-0.0\ "/>
    <numFmt numFmtId="209" formatCode="_-* #,##0.000000_-;\-* #,##0.000000_-;_-* &quot;-&quot;??????_-;_-@_-"/>
  </numFmts>
  <fonts count="72">
    <font>
      <sz val="10"/>
      <name val="Arial"/>
      <family val="0"/>
    </font>
    <font>
      <sz val="8"/>
      <name val="Arial"/>
      <family val="2"/>
    </font>
    <font>
      <sz val="14"/>
      <name val="Arial"/>
      <family val="2"/>
    </font>
    <font>
      <b/>
      <sz val="10"/>
      <color indexed="8"/>
      <name val="Arial"/>
      <family val="2"/>
    </font>
    <font>
      <u val="single"/>
      <sz val="7.5"/>
      <color indexed="12"/>
      <name val="Arial"/>
      <family val="2"/>
    </font>
    <font>
      <u val="single"/>
      <sz val="7.5"/>
      <color indexed="36"/>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b/>
      <sz val="14"/>
      <name val="Arial"/>
      <family val="2"/>
    </font>
    <font>
      <b/>
      <sz val="10"/>
      <name val="Arial"/>
      <family val="2"/>
    </font>
    <font>
      <b/>
      <sz val="8"/>
      <name val="Arial"/>
      <family val="2"/>
    </font>
    <font>
      <b/>
      <sz val="7"/>
      <name val="Arial"/>
      <family val="2"/>
    </font>
    <font>
      <i/>
      <sz val="8"/>
      <name val="Arial"/>
      <family val="2"/>
    </font>
    <font>
      <b/>
      <i/>
      <sz val="8"/>
      <name val="Arial"/>
      <family val="2"/>
    </font>
    <font>
      <sz val="12"/>
      <color indexed="10"/>
      <name val="Arial"/>
      <family val="2"/>
    </font>
    <font>
      <sz val="10"/>
      <color indexed="18"/>
      <name val="Arial"/>
      <family val="2"/>
    </font>
    <font>
      <b/>
      <sz val="9"/>
      <name val="Arial"/>
      <family val="2"/>
    </font>
    <font>
      <sz val="8"/>
      <name val="Arial Narrow"/>
      <family val="2"/>
    </font>
    <font>
      <b/>
      <sz val="8"/>
      <color indexed="10"/>
      <name val="Arial"/>
      <family val="2"/>
    </font>
    <font>
      <sz val="8"/>
      <color indexed="10"/>
      <name val="Arial"/>
      <family val="2"/>
    </font>
    <font>
      <sz val="10"/>
      <name val="MS Sans Serif"/>
      <family val="2"/>
    </font>
    <font>
      <sz val="10"/>
      <name val="Times New Roman CE"/>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62"/>
      <name val="Cambria"/>
      <family val="2"/>
    </font>
    <font>
      <sz val="10"/>
      <color indexed="10"/>
      <name val="Arial"/>
      <family val="2"/>
    </font>
    <font>
      <sz val="10"/>
      <color indexed="12"/>
      <name val="Arial"/>
      <family val="2"/>
    </font>
    <font>
      <sz val="12"/>
      <color indexed="8"/>
      <name val="Arial"/>
      <family val="2"/>
    </font>
    <font>
      <b/>
      <sz val="12"/>
      <color indexed="8"/>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b/>
      <sz val="8"/>
      <color rgb="FFFF0000"/>
      <name val="Arial"/>
      <family val="2"/>
    </font>
    <font>
      <sz val="12"/>
      <color rgb="FFFF0000"/>
      <name val="Arial"/>
      <family val="2"/>
    </font>
    <font>
      <sz val="12"/>
      <color theme="1"/>
      <name val="Arial"/>
      <family val="2"/>
    </font>
    <font>
      <b/>
      <sz val="12"/>
      <color theme="1"/>
      <name val="Arial"/>
      <family val="2"/>
    </font>
    <font>
      <sz val="11"/>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CCFFCC"/>
        <bgColor indexed="64"/>
      </patternFill>
    </fill>
    <fill>
      <patternFill patternType="solid">
        <fgColor indexed="43"/>
        <bgColor indexed="64"/>
      </patternFill>
    </fill>
    <fill>
      <patternFill patternType="solid">
        <fgColor theme="9"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style="thin"/>
      <top/>
      <bottom/>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style="thin"/>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right/>
      <top/>
      <bottom/>
    </border>
    <border>
      <left/>
      <right style="thick"/>
      <top/>
      <bottom/>
    </border>
    <border>
      <left style="thick"/>
      <right/>
      <top/>
      <bottom style="thin"/>
    </border>
    <border>
      <left/>
      <right style="thick"/>
      <top/>
      <bottom style="thin"/>
    </border>
    <border>
      <left style="thick"/>
      <right style="thin"/>
      <top/>
      <bottom/>
    </border>
    <border>
      <left style="thin"/>
      <right style="thin"/>
      <top style="medium"/>
      <bottom/>
    </border>
    <border>
      <left style="thin"/>
      <right style="thin"/>
      <top/>
      <bottom style="medium"/>
    </border>
    <border>
      <left style="medium"/>
      <right/>
      <top style="thin"/>
      <bottom/>
    </border>
    <border>
      <left style="thin"/>
      <right style="thick"/>
      <top/>
      <bottom style="thin"/>
    </border>
    <border>
      <left style="hair"/>
      <right/>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7"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185" fontId="2" fillId="0" borderId="0">
      <alignment horizontal="left" vertical="center"/>
      <protection/>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25" fillId="0" borderId="0">
      <alignment/>
      <protection/>
    </xf>
    <xf numFmtId="0" fontId="61" fillId="0" borderId="0">
      <alignment/>
      <protection/>
    </xf>
    <xf numFmtId="0" fontId="26" fillId="0" borderId="0">
      <alignment/>
      <protection/>
    </xf>
    <xf numFmtId="0" fontId="12"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1" fillId="0" borderId="0">
      <alignment/>
      <protection/>
    </xf>
    <xf numFmtId="0" fontId="63" fillId="0" borderId="0" applyNumberFormat="0" applyFill="0" applyBorder="0" applyAlignment="0" applyProtection="0"/>
    <xf numFmtId="0" fontId="7" fillId="33" borderId="0" applyNumberFormat="0" applyBorder="0">
      <alignment/>
      <protection locked="0"/>
    </xf>
    <xf numFmtId="0" fontId="64" fillId="0" borderId="9" applyNumberFormat="0" applyFill="0" applyAlignment="0" applyProtection="0"/>
    <xf numFmtId="0" fontId="3" fillId="34" borderId="0" applyNumberFormat="0" applyBorder="0">
      <alignment/>
      <protection locked="0"/>
    </xf>
    <xf numFmtId="0" fontId="65" fillId="0" borderId="0" applyNumberFormat="0" applyFill="0" applyBorder="0" applyAlignment="0" applyProtection="0"/>
  </cellStyleXfs>
  <cellXfs count="1134">
    <xf numFmtId="0" fontId="0" fillId="0" borderId="0" xfId="0" applyAlignment="1">
      <alignment/>
    </xf>
    <xf numFmtId="0" fontId="8" fillId="0" borderId="0"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8" fillId="0" borderId="10" xfId="0" applyFont="1" applyFill="1" applyBorder="1" applyAlignment="1">
      <alignment/>
    </xf>
    <xf numFmtId="0" fontId="9" fillId="0" borderId="10" xfId="0" applyFont="1" applyFill="1" applyBorder="1" applyAlignment="1">
      <alignment/>
    </xf>
    <xf numFmtId="0" fontId="9" fillId="35" borderId="0" xfId="0" applyFont="1" applyFill="1" applyAlignment="1">
      <alignment/>
    </xf>
    <xf numFmtId="0" fontId="9" fillId="0" borderId="0" xfId="0" applyFont="1" applyFill="1" applyAlignment="1">
      <alignment textRotation="90" wrapText="1"/>
    </xf>
    <xf numFmtId="0" fontId="9" fillId="0" borderId="0" xfId="0" applyFont="1" applyFill="1" applyAlignment="1">
      <alignment vertical="top" textRotation="90" wrapText="1"/>
    </xf>
    <xf numFmtId="0" fontId="8" fillId="0" borderId="0" xfId="0" applyFont="1" applyFill="1" applyAlignment="1">
      <alignment horizontal="center" textRotation="90" wrapText="1"/>
    </xf>
    <xf numFmtId="0" fontId="8" fillId="0" borderId="0" xfId="0" applyFont="1" applyFill="1" applyAlignment="1">
      <alignment textRotation="90" wrapText="1"/>
    </xf>
    <xf numFmtId="0" fontId="8" fillId="0" borderId="0" xfId="0" applyFont="1" applyFill="1" applyAlignment="1">
      <alignment horizontal="center"/>
    </xf>
    <xf numFmtId="0" fontId="9" fillId="0" borderId="0" xfId="0" applyFont="1" applyFill="1" applyAlignment="1">
      <alignment horizontal="center"/>
    </xf>
    <xf numFmtId="0" fontId="9" fillId="0" borderId="0" xfId="0" applyFont="1" applyFill="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quotePrefix="1">
      <alignment/>
    </xf>
    <xf numFmtId="2" fontId="9" fillId="0" borderId="0" xfId="0" applyNumberFormat="1" applyFont="1" applyFill="1" applyBorder="1" applyAlignment="1">
      <alignment/>
    </xf>
    <xf numFmtId="2" fontId="9" fillId="0" borderId="0" xfId="0" applyNumberFormat="1" applyFont="1" applyFill="1" applyBorder="1" applyAlignment="1">
      <alignment vertical="center"/>
    </xf>
    <xf numFmtId="4" fontId="9" fillId="0" borderId="0" xfId="0" applyNumberFormat="1" applyFont="1" applyFill="1" applyBorder="1" applyAlignment="1">
      <alignment/>
    </xf>
    <xf numFmtId="165" fontId="9" fillId="0" borderId="0" xfId="0" applyNumberFormat="1" applyFont="1" applyFill="1" applyBorder="1" applyAlignment="1">
      <alignment/>
    </xf>
    <xf numFmtId="0" fontId="9" fillId="0" borderId="0" xfId="0" applyFont="1" applyFill="1" applyBorder="1" applyAlignment="1" quotePrefix="1">
      <alignment/>
    </xf>
    <xf numFmtId="164" fontId="9" fillId="0" borderId="0" xfId="0" applyNumberFormat="1" applyFont="1" applyFill="1" applyBorder="1" applyAlignment="1">
      <alignment/>
    </xf>
    <xf numFmtId="165" fontId="9" fillId="0" borderId="0" xfId="0" applyNumberFormat="1" applyFont="1" applyFill="1" applyBorder="1" applyAlignment="1">
      <alignment horizontal="right" vertical="center"/>
    </xf>
    <xf numFmtId="1" fontId="9" fillId="0" borderId="0" xfId="0" applyNumberFormat="1" applyFont="1" applyFill="1" applyBorder="1" applyAlignment="1">
      <alignment/>
    </xf>
    <xf numFmtId="3" fontId="9" fillId="0" borderId="0" xfId="0" applyNumberFormat="1" applyFont="1" applyFill="1" applyBorder="1" applyAlignment="1">
      <alignment/>
    </xf>
    <xf numFmtId="1" fontId="9" fillId="0" borderId="0" xfId="0" applyNumberFormat="1" applyFont="1" applyFill="1" applyBorder="1" applyAlignment="1">
      <alignment horizontal="right"/>
    </xf>
    <xf numFmtId="176" fontId="9" fillId="0" borderId="0" xfId="0" applyNumberFormat="1" applyFont="1" applyFill="1" applyBorder="1" applyAlignment="1">
      <alignment/>
    </xf>
    <xf numFmtId="3" fontId="9" fillId="0" borderId="0" xfId="0" applyNumberFormat="1" applyFont="1" applyFill="1" applyAlignment="1">
      <alignment/>
    </xf>
    <xf numFmtId="3" fontId="10" fillId="0" borderId="0" xfId="0" applyNumberFormat="1" applyFont="1" applyFill="1" applyBorder="1" applyAlignment="1">
      <alignment/>
    </xf>
    <xf numFmtId="3" fontId="9" fillId="0" borderId="0" xfId="0" applyNumberFormat="1" applyFont="1" applyFill="1" applyAlignment="1" quotePrefix="1">
      <alignment horizontal="right"/>
    </xf>
    <xf numFmtId="0" fontId="9" fillId="0" borderId="0" xfId="0" applyFont="1" applyFill="1" applyBorder="1" applyAlignment="1">
      <alignment horizontal="right"/>
    </xf>
    <xf numFmtId="0" fontId="8" fillId="0" borderId="0" xfId="0" applyFont="1" applyFill="1" applyBorder="1" applyAlignment="1">
      <alignment horizontal="left"/>
    </xf>
    <xf numFmtId="0" fontId="8" fillId="0" borderId="10" xfId="0" applyFont="1" applyFill="1" applyBorder="1" applyAlignment="1">
      <alignment horizontal="center"/>
    </xf>
    <xf numFmtId="0" fontId="8" fillId="0" borderId="10" xfId="0" applyFont="1" applyFill="1" applyBorder="1" applyAlignment="1">
      <alignment horizontal="right"/>
    </xf>
    <xf numFmtId="0" fontId="0" fillId="0" borderId="0" xfId="0" applyFill="1" applyAlignment="1">
      <alignment/>
    </xf>
    <xf numFmtId="3" fontId="9" fillId="0" borderId="0" xfId="0" applyNumberFormat="1" applyFont="1" applyFill="1" applyBorder="1" applyAlignment="1">
      <alignment horizontal="right"/>
    </xf>
    <xf numFmtId="0" fontId="10" fillId="0" borderId="0" xfId="0" applyFont="1" applyFill="1" applyBorder="1" applyAlignment="1">
      <alignment horizontal="left"/>
    </xf>
    <xf numFmtId="0" fontId="10" fillId="0" borderId="0" xfId="0" applyFont="1" applyFill="1" applyBorder="1" applyAlignment="1">
      <alignment/>
    </xf>
    <xf numFmtId="0" fontId="9" fillId="35" borderId="0" xfId="0" applyFont="1" applyFill="1" applyAlignment="1">
      <alignment horizontal="left" textRotation="90" wrapText="1"/>
    </xf>
    <xf numFmtId="0" fontId="8" fillId="35" borderId="10" xfId="0" applyFont="1" applyFill="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xf>
    <xf numFmtId="0" fontId="9" fillId="35" borderId="0" xfId="0" applyFont="1" applyFill="1" applyBorder="1" applyAlignment="1" quotePrefix="1">
      <alignment/>
    </xf>
    <xf numFmtId="0" fontId="9" fillId="35" borderId="0" xfId="0" applyFont="1" applyFill="1" applyBorder="1" applyAlignment="1">
      <alignment horizontal="left"/>
    </xf>
    <xf numFmtId="0" fontId="8" fillId="35" borderId="0" xfId="0" applyFont="1" applyFill="1" applyAlignment="1">
      <alignment textRotation="90" wrapText="1"/>
    </xf>
    <xf numFmtId="0" fontId="8" fillId="35" borderId="10" xfId="0" applyFont="1" applyFill="1" applyBorder="1" applyAlignment="1">
      <alignment horizontal="right"/>
    </xf>
    <xf numFmtId="2" fontId="9" fillId="35" borderId="0" xfId="0" applyNumberFormat="1" applyFont="1" applyFill="1" applyBorder="1" applyAlignment="1">
      <alignment vertical="center"/>
    </xf>
    <xf numFmtId="165" fontId="9" fillId="35" borderId="0" xfId="0" applyNumberFormat="1" applyFont="1" applyFill="1" applyBorder="1" applyAlignment="1">
      <alignment horizontal="right" vertical="center"/>
    </xf>
    <xf numFmtId="1" fontId="9" fillId="35" borderId="0" xfId="0" applyNumberFormat="1" applyFont="1" applyFill="1" applyBorder="1" applyAlignment="1">
      <alignment/>
    </xf>
    <xf numFmtId="164" fontId="9" fillId="35" borderId="0" xfId="0" applyNumberFormat="1" applyFont="1" applyFill="1" applyBorder="1" applyAlignment="1">
      <alignment/>
    </xf>
    <xf numFmtId="3" fontId="9" fillId="35" borderId="0" xfId="0" applyNumberFormat="1" applyFont="1" applyFill="1" applyBorder="1" applyAlignment="1">
      <alignment/>
    </xf>
    <xf numFmtId="2" fontId="9" fillId="35" borderId="0" xfId="0" applyNumberFormat="1" applyFont="1" applyFill="1" applyBorder="1" applyAlignment="1">
      <alignment/>
    </xf>
    <xf numFmtId="176" fontId="9" fillId="35" borderId="0" xfId="0" applyNumberFormat="1" applyFont="1" applyFill="1" applyBorder="1" applyAlignment="1">
      <alignment/>
    </xf>
    <xf numFmtId="3" fontId="9" fillId="35" borderId="0" xfId="0" applyNumberFormat="1" applyFont="1" applyFill="1" applyAlignment="1">
      <alignment/>
    </xf>
    <xf numFmtId="3" fontId="9" fillId="35" borderId="0" xfId="0" applyNumberFormat="1" applyFont="1" applyFill="1" applyAlignment="1">
      <alignment horizontal="right"/>
    </xf>
    <xf numFmtId="3" fontId="9" fillId="35" borderId="0" xfId="0" applyNumberFormat="1" applyFont="1" applyFill="1" applyAlignment="1" quotePrefix="1">
      <alignment horizontal="right"/>
    </xf>
    <xf numFmtId="0" fontId="8" fillId="35" borderId="0" xfId="0" applyFont="1" applyFill="1" applyAlignment="1">
      <alignment horizontal="center" textRotation="90" wrapText="1"/>
    </xf>
    <xf numFmtId="4" fontId="9" fillId="35" borderId="0" xfId="0" applyNumberFormat="1" applyFont="1" applyFill="1" applyBorder="1" applyAlignment="1">
      <alignment/>
    </xf>
    <xf numFmtId="175" fontId="9" fillId="35" borderId="0" xfId="0" applyNumberFormat="1" applyFont="1" applyFill="1" applyBorder="1" applyAlignment="1">
      <alignment/>
    </xf>
    <xf numFmtId="3" fontId="9" fillId="35" borderId="0" xfId="0" applyNumberFormat="1" applyFont="1" applyFill="1" applyBorder="1" applyAlignment="1" quotePrefix="1">
      <alignment horizontal="right"/>
    </xf>
    <xf numFmtId="0" fontId="1" fillId="0" borderId="0" xfId="0" applyFont="1" applyFill="1" applyBorder="1" applyAlignment="1">
      <alignment horizontal="left" vertical="center"/>
    </xf>
    <xf numFmtId="0" fontId="6"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9" fillId="0" borderId="0" xfId="0" applyFont="1" applyFill="1" applyAlignment="1">
      <alignment/>
    </xf>
    <xf numFmtId="0" fontId="13" fillId="0" borderId="0" xfId="0" applyFont="1" applyFill="1" applyAlignment="1">
      <alignment/>
    </xf>
    <xf numFmtId="0" fontId="9" fillId="0" borderId="10" xfId="0" applyFont="1" applyFill="1" applyBorder="1" applyAlignment="1">
      <alignment horizontal="left"/>
    </xf>
    <xf numFmtId="0" fontId="9" fillId="35" borderId="10" xfId="0" applyFont="1" applyFill="1" applyBorder="1" applyAlignment="1">
      <alignment/>
    </xf>
    <xf numFmtId="164" fontId="9" fillId="0" borderId="10" xfId="0" applyNumberFormat="1" applyFont="1" applyFill="1" applyBorder="1" applyAlignment="1">
      <alignment/>
    </xf>
    <xf numFmtId="164" fontId="9" fillId="35" borderId="10" xfId="0" applyNumberFormat="1" applyFont="1" applyFill="1" applyBorder="1" applyAlignment="1">
      <alignment/>
    </xf>
    <xf numFmtId="171" fontId="9" fillId="35" borderId="0" xfId="42" applyNumberFormat="1" applyFont="1" applyFill="1" applyBorder="1" applyAlignment="1">
      <alignment/>
    </xf>
    <xf numFmtId="3" fontId="9" fillId="36" borderId="0" xfId="0" applyNumberFormat="1" applyFont="1" applyFill="1" applyBorder="1" applyAlignment="1">
      <alignment horizontal="right"/>
    </xf>
    <xf numFmtId="2" fontId="9" fillId="36" borderId="0" xfId="0" applyNumberFormat="1" applyFont="1" applyFill="1" applyBorder="1" applyAlignment="1">
      <alignment/>
    </xf>
    <xf numFmtId="1" fontId="9" fillId="36" borderId="0" xfId="0" applyNumberFormat="1" applyFont="1" applyFill="1" applyBorder="1" applyAlignment="1">
      <alignment/>
    </xf>
    <xf numFmtId="164" fontId="9" fillId="36" borderId="0" xfId="0" applyNumberFormat="1" applyFont="1" applyFill="1" applyBorder="1" applyAlignment="1">
      <alignment/>
    </xf>
    <xf numFmtId="0" fontId="9" fillId="36" borderId="0" xfId="0" applyFont="1" applyFill="1" applyBorder="1" applyAlignment="1">
      <alignment/>
    </xf>
    <xf numFmtId="3" fontId="9" fillId="35" borderId="0" xfId="42" applyNumberFormat="1" applyFont="1" applyFill="1" applyBorder="1" applyAlignment="1">
      <alignment/>
    </xf>
    <xf numFmtId="3" fontId="9" fillId="0" borderId="0" xfId="42" applyNumberFormat="1" applyFont="1" applyFill="1" applyBorder="1" applyAlignment="1">
      <alignment/>
    </xf>
    <xf numFmtId="164" fontId="9" fillId="0" borderId="0" xfId="71" applyNumberFormat="1" applyFont="1" applyFill="1" applyBorder="1" applyAlignment="1">
      <alignment horizontal="right"/>
    </xf>
    <xf numFmtId="164" fontId="9" fillId="35" borderId="0" xfId="71" applyNumberFormat="1" applyFont="1" applyFill="1" applyBorder="1" applyAlignment="1">
      <alignment horizontal="right"/>
    </xf>
    <xf numFmtId="3" fontId="9" fillId="35" borderId="0" xfId="0" applyNumberFormat="1" applyFont="1" applyFill="1" applyBorder="1" applyAlignment="1">
      <alignment horizontal="right"/>
    </xf>
    <xf numFmtId="2" fontId="9" fillId="36" borderId="0" xfId="0" applyNumberFormat="1" applyFont="1" applyFill="1" applyBorder="1" applyAlignment="1">
      <alignment vertical="center"/>
    </xf>
    <xf numFmtId="165" fontId="9" fillId="36" borderId="0" xfId="0" applyNumberFormat="1" applyFont="1" applyFill="1" applyBorder="1" applyAlignment="1">
      <alignment horizontal="right" vertical="center"/>
    </xf>
    <xf numFmtId="3" fontId="9" fillId="36" borderId="0" xfId="0" applyNumberFormat="1" applyFont="1" applyFill="1" applyBorder="1" applyAlignment="1">
      <alignment/>
    </xf>
    <xf numFmtId="176" fontId="9" fillId="36" borderId="0" xfId="0" applyNumberFormat="1" applyFont="1" applyFill="1" applyBorder="1" applyAlignment="1">
      <alignment/>
    </xf>
    <xf numFmtId="1" fontId="9" fillId="36" borderId="0" xfId="0" applyNumberFormat="1" applyFont="1" applyFill="1" applyBorder="1" applyAlignment="1">
      <alignment horizontal="right"/>
    </xf>
    <xf numFmtId="3" fontId="9" fillId="36" borderId="0" xfId="42" applyNumberFormat="1" applyFont="1" applyFill="1" applyBorder="1" applyAlignment="1">
      <alignment/>
    </xf>
    <xf numFmtId="3" fontId="9" fillId="36" borderId="0" xfId="0" applyNumberFormat="1" applyFont="1" applyFill="1" applyAlignment="1">
      <alignment/>
    </xf>
    <xf numFmtId="164" fontId="9" fillId="36" borderId="0" xfId="71" applyNumberFormat="1" applyFont="1" applyFill="1" applyBorder="1" applyAlignment="1">
      <alignment horizontal="right"/>
    </xf>
    <xf numFmtId="2" fontId="9" fillId="36" borderId="0" xfId="0" applyNumberFormat="1" applyFont="1" applyFill="1" applyBorder="1" applyAlignment="1">
      <alignment horizontal="right"/>
    </xf>
    <xf numFmtId="175" fontId="9" fillId="0" borderId="0" xfId="0" applyNumberFormat="1" applyFont="1" applyFill="1" applyBorder="1" applyAlignment="1">
      <alignment/>
    </xf>
    <xf numFmtId="3" fontId="9" fillId="0" borderId="0" xfId="0" applyNumberFormat="1" applyFont="1" applyFill="1" applyAlignment="1">
      <alignment horizontal="right"/>
    </xf>
    <xf numFmtId="164" fontId="0" fillId="0" borderId="0" xfId="0" applyNumberFormat="1" applyAlignment="1">
      <alignment/>
    </xf>
    <xf numFmtId="1" fontId="0" fillId="0" borderId="0" xfId="0" applyNumberFormat="1" applyAlignment="1">
      <alignment/>
    </xf>
    <xf numFmtId="2" fontId="0" fillId="0" borderId="0" xfId="0" applyNumberFormat="1" applyAlignment="1">
      <alignment/>
    </xf>
    <xf numFmtId="171" fontId="0" fillId="0" borderId="0" xfId="42" applyNumberFormat="1" applyFont="1" applyAlignment="1">
      <alignment/>
    </xf>
    <xf numFmtId="171" fontId="0" fillId="0" borderId="0" xfId="42" applyNumberFormat="1" applyFont="1" applyAlignment="1">
      <alignment horizontal="right"/>
    </xf>
    <xf numFmtId="0" fontId="0" fillId="37" borderId="0" xfId="0" applyFill="1" applyAlignment="1">
      <alignment/>
    </xf>
    <xf numFmtId="1" fontId="0" fillId="0" borderId="0" xfId="0" applyNumberFormat="1" applyAlignment="1">
      <alignment horizontal="right"/>
    </xf>
    <xf numFmtId="0" fontId="9" fillId="0" borderId="0" xfId="0" applyFont="1" applyAlignment="1">
      <alignment/>
    </xf>
    <xf numFmtId="0" fontId="1" fillId="0" borderId="0" xfId="0" applyFont="1" applyAlignment="1">
      <alignment/>
    </xf>
    <xf numFmtId="0" fontId="8" fillId="0" borderId="0" xfId="0" applyFont="1" applyBorder="1" applyAlignment="1" quotePrefix="1">
      <alignment horizontal="right" vertical="top"/>
    </xf>
    <xf numFmtId="0" fontId="0" fillId="0" borderId="11" xfId="0" applyFill="1" applyBorder="1" applyAlignment="1">
      <alignment/>
    </xf>
    <xf numFmtId="1" fontId="15" fillId="35" borderId="12" xfId="0" applyNumberFormat="1" applyFont="1" applyFill="1" applyBorder="1" applyAlignment="1">
      <alignment horizontal="center"/>
    </xf>
    <xf numFmtId="1" fontId="15" fillId="35" borderId="13" xfId="0" applyNumberFormat="1" applyFont="1" applyFill="1" applyBorder="1" applyAlignment="1">
      <alignment horizontal="center"/>
    </xf>
    <xf numFmtId="1" fontId="15" fillId="35" borderId="14" xfId="0" applyNumberFormat="1" applyFont="1" applyFill="1" applyBorder="1" applyAlignment="1">
      <alignment horizontal="center"/>
    </xf>
    <xf numFmtId="0" fontId="15" fillId="0" borderId="15" xfId="0" applyFont="1" applyFill="1" applyBorder="1" applyAlignment="1">
      <alignment horizontal="center" vertical="center"/>
    </xf>
    <xf numFmtId="3" fontId="1" fillId="0" borderId="0" xfId="0" applyNumberFormat="1" applyFont="1" applyFill="1" applyBorder="1" applyAlignment="1">
      <alignment horizontal="right"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4" fontId="9" fillId="0" borderId="0" xfId="0" applyNumberFormat="1" applyFont="1" applyFill="1" applyAlignment="1">
      <alignment/>
    </xf>
    <xf numFmtId="0" fontId="0" fillId="0" borderId="0" xfId="0" applyFont="1" applyAlignment="1">
      <alignment/>
    </xf>
    <xf numFmtId="0" fontId="14" fillId="0" borderId="13" xfId="0" applyFont="1" applyBorder="1" applyAlignment="1">
      <alignment vertical="center"/>
    </xf>
    <xf numFmtId="0" fontId="0" fillId="0" borderId="14" xfId="0" applyBorder="1" applyAlignment="1">
      <alignment/>
    </xf>
    <xf numFmtId="0" fontId="0" fillId="0" borderId="17" xfId="0" applyBorder="1" applyAlignment="1">
      <alignment/>
    </xf>
    <xf numFmtId="0" fontId="14" fillId="0" borderId="13" xfId="0" applyFont="1" applyBorder="1" applyAlignment="1">
      <alignment horizontal="left"/>
    </xf>
    <xf numFmtId="0" fontId="1" fillId="35" borderId="18" xfId="0" applyFont="1" applyFill="1" applyBorder="1" applyAlignment="1">
      <alignment horizontal="center" vertical="top" wrapText="1"/>
    </xf>
    <xf numFmtId="0" fontId="1" fillId="35" borderId="10" xfId="0" applyFont="1" applyFill="1" applyBorder="1" applyAlignment="1">
      <alignment horizontal="center" vertical="top" wrapText="1"/>
    </xf>
    <xf numFmtId="0" fontId="1" fillId="35" borderId="19" xfId="0" applyFont="1" applyFill="1" applyBorder="1" applyAlignment="1">
      <alignment horizontal="center" vertical="top" wrapText="1"/>
    </xf>
    <xf numFmtId="0" fontId="1" fillId="0" borderId="0" xfId="0" applyFont="1" applyAlignment="1">
      <alignment horizontal="center"/>
    </xf>
    <xf numFmtId="0" fontId="1" fillId="35" borderId="15" xfId="0" applyFont="1" applyFill="1" applyBorder="1" applyAlignment="1">
      <alignment vertical="center"/>
    </xf>
    <xf numFmtId="165" fontId="1" fillId="0" borderId="0" xfId="0" applyNumberFormat="1" applyFont="1" applyAlignment="1">
      <alignment horizontal="right" vertical="center"/>
    </xf>
    <xf numFmtId="165" fontId="1" fillId="38" borderId="0" xfId="0" applyNumberFormat="1" applyFont="1" applyFill="1" applyAlignment="1">
      <alignment horizontal="right" vertical="center"/>
    </xf>
    <xf numFmtId="0" fontId="1" fillId="35" borderId="15" xfId="0" applyFont="1" applyFill="1" applyBorder="1" applyAlignment="1">
      <alignment horizontal="right" vertical="center"/>
    </xf>
    <xf numFmtId="165" fontId="1" fillId="39" borderId="0" xfId="0" applyNumberFormat="1" applyFont="1" applyFill="1" applyAlignment="1">
      <alignment horizontal="right" vertical="center"/>
    </xf>
    <xf numFmtId="165" fontId="1" fillId="39" borderId="0" xfId="0" applyNumberFormat="1" applyFont="1" applyFill="1" applyBorder="1" applyAlignment="1">
      <alignment horizontal="right" vertical="center"/>
    </xf>
    <xf numFmtId="165" fontId="17" fillId="39" borderId="0" xfId="0" applyNumberFormat="1" applyFont="1" applyFill="1" applyBorder="1" applyAlignment="1">
      <alignment horizontal="right" vertical="center"/>
    </xf>
    <xf numFmtId="165" fontId="17" fillId="0" borderId="0" xfId="0" applyNumberFormat="1" applyFont="1" applyAlignment="1">
      <alignment horizontal="right" vertical="center"/>
    </xf>
    <xf numFmtId="165" fontId="17" fillId="39" borderId="0" xfId="0" applyNumberFormat="1" applyFont="1" applyFill="1" applyAlignment="1">
      <alignment horizontal="right" vertical="center"/>
    </xf>
    <xf numFmtId="165" fontId="1" fillId="39" borderId="20" xfId="0" applyNumberFormat="1" applyFont="1" applyFill="1" applyBorder="1" applyAlignment="1">
      <alignment horizontal="right" vertical="center"/>
    </xf>
    <xf numFmtId="0" fontId="1" fillId="35" borderId="16" xfId="0" applyFont="1" applyFill="1" applyBorder="1" applyAlignment="1">
      <alignment vertical="center"/>
    </xf>
    <xf numFmtId="165" fontId="1" fillId="0" borderId="18" xfId="0" applyNumberFormat="1" applyFont="1" applyBorder="1" applyAlignment="1">
      <alignment horizontal="right" vertical="center"/>
    </xf>
    <xf numFmtId="165" fontId="1" fillId="0" borderId="10" xfId="0" applyNumberFormat="1" applyFont="1" applyBorder="1" applyAlignment="1">
      <alignment horizontal="right" vertical="center"/>
    </xf>
    <xf numFmtId="165" fontId="1" fillId="38" borderId="19"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horizontal="left"/>
    </xf>
    <xf numFmtId="4" fontId="9" fillId="0" borderId="0" xfId="0" applyNumberFormat="1" applyFont="1" applyFill="1" applyBorder="1" applyAlignment="1">
      <alignment horizontal="right"/>
    </xf>
    <xf numFmtId="165" fontId="0" fillId="0" borderId="0" xfId="0" applyNumberFormat="1" applyAlignment="1">
      <alignment/>
    </xf>
    <xf numFmtId="165" fontId="66" fillId="0" borderId="0" xfId="0" applyNumberFormat="1" applyFont="1" applyAlignment="1">
      <alignment/>
    </xf>
    <xf numFmtId="0" fontId="8" fillId="0" borderId="0" xfId="0" applyFont="1" applyAlignment="1">
      <alignment horizontal="left"/>
    </xf>
    <xf numFmtId="0" fontId="16" fillId="35" borderId="12" xfId="0" applyFont="1" applyFill="1" applyBorder="1" applyAlignment="1">
      <alignment horizontal="center" wrapText="1"/>
    </xf>
    <xf numFmtId="0" fontId="0" fillId="0" borderId="0" xfId="0" applyFill="1" applyBorder="1" applyAlignment="1">
      <alignment/>
    </xf>
    <xf numFmtId="0" fontId="0" fillId="0" borderId="19" xfId="0" applyFill="1" applyBorder="1" applyAlignment="1">
      <alignment/>
    </xf>
    <xf numFmtId="1" fontId="15" fillId="35" borderId="18" xfId="0" applyNumberFormat="1" applyFont="1" applyFill="1" applyBorder="1" applyAlignment="1">
      <alignment horizontal="center" vertical="center"/>
    </xf>
    <xf numFmtId="1" fontId="15" fillId="35" borderId="16" xfId="0" applyNumberFormat="1" applyFont="1" applyFill="1" applyBorder="1" applyAlignment="1">
      <alignment horizontal="center" vertical="center"/>
    </xf>
    <xf numFmtId="1" fontId="15" fillId="35" borderId="10" xfId="0" applyNumberFormat="1" applyFont="1" applyFill="1" applyBorder="1" applyAlignment="1">
      <alignment horizontal="center" vertical="center"/>
    </xf>
    <xf numFmtId="0" fontId="16" fillId="35" borderId="16" xfId="0" applyFont="1" applyFill="1" applyBorder="1" applyAlignment="1">
      <alignment horizontal="center" vertical="top" wrapText="1"/>
    </xf>
    <xf numFmtId="0" fontId="15" fillId="39" borderId="12" xfId="0" applyFont="1" applyFill="1" applyBorder="1" applyAlignment="1">
      <alignment horizontal="center" vertical="center"/>
    </xf>
    <xf numFmtId="3" fontId="15" fillId="39" borderId="13" xfId="0" applyNumberFormat="1" applyFont="1" applyFill="1" applyBorder="1" applyAlignment="1">
      <alignment horizontal="right"/>
    </xf>
    <xf numFmtId="3" fontId="15" fillId="39" borderId="12" xfId="0" applyNumberFormat="1" applyFont="1" applyFill="1" applyBorder="1" applyAlignment="1">
      <alignment horizontal="right"/>
    </xf>
    <xf numFmtId="3" fontId="15" fillId="39" borderId="14" xfId="0" applyNumberFormat="1" applyFont="1" applyFill="1" applyBorder="1" applyAlignment="1">
      <alignment horizontal="right" vertical="center"/>
    </xf>
    <xf numFmtId="175" fontId="15" fillId="39" borderId="14" xfId="0" applyNumberFormat="1" applyFont="1" applyFill="1" applyBorder="1" applyAlignment="1">
      <alignment horizontal="right" vertical="center"/>
    </xf>
    <xf numFmtId="196" fontId="15" fillId="39" borderId="15" xfId="0" applyNumberFormat="1" applyFont="1" applyFill="1" applyBorder="1" applyAlignment="1">
      <alignment vertical="center"/>
    </xf>
    <xf numFmtId="0" fontId="15" fillId="39" borderId="15" xfId="0" applyFont="1" applyFill="1" applyBorder="1" applyAlignment="1">
      <alignment horizontal="center" vertical="center"/>
    </xf>
    <xf numFmtId="3" fontId="15" fillId="39" borderId="0" xfId="0" applyNumberFormat="1" applyFont="1" applyFill="1" applyBorder="1" applyAlignment="1">
      <alignment horizontal="right" vertical="center"/>
    </xf>
    <xf numFmtId="0" fontId="15" fillId="39" borderId="16" xfId="0" applyFont="1" applyFill="1" applyBorder="1" applyAlignment="1">
      <alignment horizontal="center" vertical="center"/>
    </xf>
    <xf numFmtId="3" fontId="15" fillId="39" borderId="10" xfId="0" applyNumberFormat="1" applyFont="1" applyFill="1" applyBorder="1" applyAlignment="1">
      <alignment horizontal="right" vertical="center"/>
    </xf>
    <xf numFmtId="3" fontId="15" fillId="39" borderId="16" xfId="0" applyNumberFormat="1" applyFont="1" applyFill="1" applyBorder="1" applyAlignment="1">
      <alignment horizontal="right" vertical="center"/>
    </xf>
    <xf numFmtId="3" fontId="15" fillId="39" borderId="18" xfId="0" applyNumberFormat="1" applyFont="1" applyFill="1" applyBorder="1" applyAlignment="1">
      <alignment horizontal="right" vertical="center"/>
    </xf>
    <xf numFmtId="175" fontId="15" fillId="39" borderId="10" xfId="0" applyNumberFormat="1" applyFont="1" applyFill="1" applyBorder="1" applyAlignment="1">
      <alignment horizontal="right" vertical="center"/>
    </xf>
    <xf numFmtId="196" fontId="15" fillId="39" borderId="16" xfId="0" applyNumberFormat="1" applyFont="1" applyFill="1" applyBorder="1" applyAlignment="1">
      <alignment vertical="center"/>
    </xf>
    <xf numFmtId="3" fontId="1" fillId="0" borderId="13"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3" fontId="1" fillId="0" borderId="14" xfId="0" applyNumberFormat="1" applyFont="1" applyFill="1" applyBorder="1" applyAlignment="1">
      <alignment horizontal="right" vertical="center"/>
    </xf>
    <xf numFmtId="175" fontId="1" fillId="0" borderId="14" xfId="0" applyNumberFormat="1" applyFont="1" applyFill="1" applyBorder="1" applyAlignment="1">
      <alignment vertical="center"/>
    </xf>
    <xf numFmtId="175" fontId="1" fillId="0" borderId="0" xfId="0" applyNumberFormat="1" applyFont="1" applyFill="1" applyBorder="1" applyAlignment="1">
      <alignment vertical="center"/>
    </xf>
    <xf numFmtId="196" fontId="1" fillId="0" borderId="15" xfId="0" applyNumberFormat="1" applyFont="1" applyFill="1" applyBorder="1" applyAlignment="1">
      <alignment vertical="center"/>
    </xf>
    <xf numFmtId="3" fontId="1" fillId="0" borderId="20"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5" fillId="39" borderId="20" xfId="0" applyNumberFormat="1" applyFont="1" applyFill="1" applyBorder="1" applyAlignment="1">
      <alignment horizontal="right" vertical="center"/>
    </xf>
    <xf numFmtId="3" fontId="15" fillId="39" borderId="15" xfId="0" applyNumberFormat="1" applyFont="1" applyFill="1" applyBorder="1" applyAlignment="1">
      <alignment horizontal="right" vertical="center"/>
    </xf>
    <xf numFmtId="3" fontId="1" fillId="39" borderId="20" xfId="0" applyNumberFormat="1" applyFont="1" applyFill="1" applyBorder="1" applyAlignment="1">
      <alignment horizontal="right" vertical="center"/>
    </xf>
    <xf numFmtId="3" fontId="1" fillId="39" borderId="0" xfId="0" applyNumberFormat="1" applyFont="1" applyFill="1" applyBorder="1" applyAlignment="1">
      <alignment horizontal="right" vertical="center"/>
    </xf>
    <xf numFmtId="175" fontId="1" fillId="39" borderId="0" xfId="0" applyNumberFormat="1" applyFont="1" applyFill="1" applyBorder="1" applyAlignment="1">
      <alignment horizontal="right" vertical="center"/>
    </xf>
    <xf numFmtId="196" fontId="1" fillId="39" borderId="15" xfId="0" applyNumberFormat="1" applyFont="1" applyFill="1" applyBorder="1" applyAlignment="1">
      <alignment vertical="center"/>
    </xf>
    <xf numFmtId="3" fontId="1" fillId="39" borderId="15" xfId="0" applyNumberFormat="1" applyFont="1" applyFill="1" applyBorder="1" applyAlignment="1">
      <alignment horizontal="right" vertical="center"/>
    </xf>
    <xf numFmtId="3" fontId="1" fillId="39" borderId="0" xfId="0" applyNumberFormat="1" applyFont="1" applyFill="1" applyAlignment="1">
      <alignment horizontal="right" vertical="center"/>
    </xf>
    <xf numFmtId="175" fontId="1" fillId="39" borderId="0" xfId="0" applyNumberFormat="1" applyFont="1" applyFill="1" applyBorder="1" applyAlignment="1">
      <alignment vertical="center"/>
    </xf>
    <xf numFmtId="3" fontId="1" fillId="0" borderId="20" xfId="0" applyNumberFormat="1" applyFont="1" applyFill="1" applyBorder="1" applyAlignment="1" quotePrefix="1">
      <alignment horizontal="right" vertical="center"/>
    </xf>
    <xf numFmtId="3" fontId="1" fillId="0" borderId="15" xfId="0" applyNumberFormat="1" applyFont="1" applyFill="1" applyBorder="1" applyAlignment="1" quotePrefix="1">
      <alignment horizontal="right" vertical="center"/>
    </xf>
    <xf numFmtId="3" fontId="1" fillId="0" borderId="0" xfId="0" applyNumberFormat="1" applyFont="1" applyFill="1" applyAlignment="1">
      <alignment horizontal="right" vertical="center"/>
    </xf>
    <xf numFmtId="3" fontId="1" fillId="39" borderId="20" xfId="0" applyNumberFormat="1" applyFont="1" applyFill="1" applyBorder="1" applyAlignment="1" quotePrefix="1">
      <alignment horizontal="right" vertical="center"/>
    </xf>
    <xf numFmtId="3" fontId="1" fillId="39" borderId="15" xfId="0" applyNumberFormat="1" applyFont="1" applyFill="1" applyBorder="1" applyAlignment="1" quotePrefix="1">
      <alignment horizontal="right" vertical="center"/>
    </xf>
    <xf numFmtId="175" fontId="1" fillId="0" borderId="10" xfId="0" applyNumberFormat="1" applyFont="1" applyFill="1" applyBorder="1" applyAlignment="1">
      <alignment vertical="center"/>
    </xf>
    <xf numFmtId="196" fontId="1" fillId="0" borderId="16" xfId="0" applyNumberFormat="1" applyFont="1" applyFill="1" applyBorder="1" applyAlignment="1">
      <alignment vertical="center"/>
    </xf>
    <xf numFmtId="3" fontId="15" fillId="39" borderId="13" xfId="0" applyNumberFormat="1" applyFont="1" applyFill="1" applyBorder="1" applyAlignment="1">
      <alignment horizontal="right" vertical="center"/>
    </xf>
    <xf numFmtId="3" fontId="15" fillId="39" borderId="12" xfId="0" applyNumberFormat="1" applyFont="1" applyFill="1" applyBorder="1" applyAlignment="1">
      <alignment horizontal="right" vertical="center"/>
    </xf>
    <xf numFmtId="3" fontId="1" fillId="39" borderId="13" xfId="0" applyNumberFormat="1" applyFont="1" applyFill="1" applyBorder="1" applyAlignment="1">
      <alignment horizontal="right" vertical="center"/>
    </xf>
    <xf numFmtId="3" fontId="1" fillId="39" borderId="14" xfId="0" applyNumberFormat="1" applyFont="1" applyFill="1" applyBorder="1" applyAlignment="1">
      <alignment horizontal="right" vertical="center"/>
    </xf>
    <xf numFmtId="175" fontId="1" fillId="39" borderId="14" xfId="0" applyNumberFormat="1" applyFont="1" applyFill="1" applyBorder="1" applyAlignment="1">
      <alignment horizontal="right" vertical="center"/>
    </xf>
    <xf numFmtId="3" fontId="15" fillId="0" borderId="20" xfId="0" applyNumberFormat="1" applyFont="1" applyFill="1" applyBorder="1" applyAlignment="1">
      <alignment horizontal="right" vertical="center"/>
    </xf>
    <xf numFmtId="3" fontId="15" fillId="0" borderId="15" xfId="0" applyNumberFormat="1" applyFont="1" applyFill="1" applyBorder="1" applyAlignment="1">
      <alignment horizontal="right" vertical="center"/>
    </xf>
    <xf numFmtId="175" fontId="1" fillId="0" borderId="0" xfId="0" applyNumberFormat="1" applyFont="1" applyFill="1" applyBorder="1" applyAlignment="1">
      <alignment horizontal="right" vertical="center"/>
    </xf>
    <xf numFmtId="175" fontId="1" fillId="39" borderId="10" xfId="0" applyNumberFormat="1" applyFont="1" applyFill="1" applyBorder="1" applyAlignment="1">
      <alignment horizontal="right" vertical="center"/>
    </xf>
    <xf numFmtId="196" fontId="1" fillId="39" borderId="16" xfId="0" applyNumberFormat="1" applyFont="1" applyFill="1" applyBorder="1" applyAlignment="1">
      <alignment vertical="center"/>
    </xf>
    <xf numFmtId="3" fontId="15" fillId="0" borderId="13" xfId="0" applyNumberFormat="1" applyFont="1" applyFill="1" applyBorder="1" applyAlignment="1">
      <alignment horizontal="right" vertical="center"/>
    </xf>
    <xf numFmtId="3" fontId="15" fillId="0" borderId="12" xfId="0" applyNumberFormat="1" applyFont="1" applyFill="1" applyBorder="1" applyAlignment="1">
      <alignment horizontal="right" vertical="center"/>
    </xf>
    <xf numFmtId="175" fontId="1" fillId="0" borderId="14" xfId="0" applyNumberFormat="1" applyFont="1" applyFill="1" applyBorder="1" applyAlignment="1">
      <alignment horizontal="right" vertical="center"/>
    </xf>
    <xf numFmtId="3" fontId="1" fillId="0" borderId="18" xfId="72" applyNumberFormat="1" applyFont="1" applyFill="1" applyBorder="1" applyAlignment="1">
      <alignment vertical="center"/>
      <protection/>
    </xf>
    <xf numFmtId="3" fontId="1" fillId="0" borderId="16" xfId="72" applyNumberFormat="1" applyFont="1" applyFill="1" applyBorder="1" applyAlignment="1">
      <alignment vertical="center"/>
      <protection/>
    </xf>
    <xf numFmtId="3" fontId="1" fillId="0" borderId="10" xfId="72" applyNumberFormat="1" applyFont="1" applyFill="1" applyBorder="1" applyAlignment="1">
      <alignment vertical="center"/>
      <protection/>
    </xf>
    <xf numFmtId="175" fontId="1" fillId="0" borderId="10" xfId="0" applyNumberFormat="1" applyFont="1" applyFill="1" applyBorder="1" applyAlignment="1">
      <alignment horizontal="right" vertical="center"/>
    </xf>
    <xf numFmtId="0" fontId="1" fillId="37" borderId="0" xfId="0" applyFont="1" applyFill="1" applyAlignment="1">
      <alignment/>
    </xf>
    <xf numFmtId="175" fontId="66" fillId="0" borderId="0" xfId="0" applyNumberFormat="1" applyFont="1" applyAlignment="1">
      <alignment/>
    </xf>
    <xf numFmtId="43" fontId="9" fillId="0" borderId="0" xfId="0" applyNumberFormat="1" applyFont="1" applyFill="1" applyBorder="1" applyAlignment="1">
      <alignment/>
    </xf>
    <xf numFmtId="0" fontId="15" fillId="0" borderId="0" xfId="0" applyFont="1" applyBorder="1" applyAlignment="1">
      <alignment horizontal="left" wrapText="1"/>
    </xf>
    <xf numFmtId="3" fontId="67" fillId="39" borderId="20" xfId="0" applyNumberFormat="1" applyFont="1" applyFill="1" applyBorder="1" applyAlignment="1">
      <alignment horizontal="right"/>
    </xf>
    <xf numFmtId="3" fontId="67" fillId="39" borderId="0" xfId="0" applyNumberFormat="1" applyFont="1" applyFill="1" applyBorder="1" applyAlignment="1">
      <alignment horizontal="right" vertical="center"/>
    </xf>
    <xf numFmtId="175" fontId="67" fillId="39" borderId="0" xfId="0" applyNumberFormat="1" applyFont="1" applyFill="1" applyBorder="1" applyAlignment="1">
      <alignment horizontal="right" vertical="center"/>
    </xf>
    <xf numFmtId="196" fontId="67" fillId="39" borderId="15" xfId="0" applyNumberFormat="1" applyFont="1" applyFill="1" applyBorder="1" applyAlignment="1">
      <alignment vertical="center"/>
    </xf>
    <xf numFmtId="0" fontId="0" fillId="15" borderId="0" xfId="0" applyFont="1" applyFill="1" applyAlignment="1">
      <alignment/>
    </xf>
    <xf numFmtId="0" fontId="0" fillId="15" borderId="0" xfId="0" applyFill="1" applyAlignment="1">
      <alignment/>
    </xf>
    <xf numFmtId="175" fontId="66" fillId="15" borderId="0" xfId="0" applyNumberFormat="1" applyFont="1" applyFill="1" applyAlignment="1">
      <alignment/>
    </xf>
    <xf numFmtId="0" fontId="1" fillId="0" borderId="0" xfId="0" applyFont="1" applyFill="1" applyAlignment="1">
      <alignment/>
    </xf>
    <xf numFmtId="0" fontId="67" fillId="39" borderId="15" xfId="0" applyFont="1" applyFill="1" applyBorder="1" applyAlignment="1">
      <alignment horizontal="center" vertical="center"/>
    </xf>
    <xf numFmtId="3" fontId="67" fillId="39" borderId="15" xfId="0" applyNumberFormat="1" applyFont="1" applyFill="1" applyBorder="1" applyAlignment="1">
      <alignment horizontal="right"/>
    </xf>
    <xf numFmtId="0" fontId="9" fillId="0" borderId="0" xfId="0" applyFont="1" applyAlignment="1">
      <alignment vertical="top"/>
    </xf>
    <xf numFmtId="0" fontId="8" fillId="0" borderId="0" xfId="0" applyFont="1" applyAlignment="1" quotePrefix="1">
      <alignment horizontal="right" vertical="top"/>
    </xf>
    <xf numFmtId="0" fontId="14" fillId="0" borderId="0" xfId="0" applyFont="1" applyAlignment="1">
      <alignment horizontal="center" vertical="center"/>
    </xf>
    <xf numFmtId="0" fontId="15" fillId="35" borderId="21"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8" fillId="39" borderId="14" xfId="0" applyNumberFormat="1" applyFont="1" applyFill="1" applyBorder="1" applyAlignment="1">
      <alignment horizontal="right"/>
    </xf>
    <xf numFmtId="164" fontId="18" fillId="39" borderId="14" xfId="0" applyNumberFormat="1" applyFont="1" applyFill="1" applyBorder="1" applyAlignment="1">
      <alignment horizontal="right" vertical="center"/>
    </xf>
    <xf numFmtId="164" fontId="15" fillId="39" borderId="14" xfId="0" applyNumberFormat="1" applyFont="1" applyFill="1" applyBorder="1" applyAlignment="1">
      <alignment horizontal="right" vertical="center"/>
    </xf>
    <xf numFmtId="164" fontId="18" fillId="39" borderId="0" xfId="0" applyNumberFormat="1" applyFont="1" applyFill="1" applyBorder="1" applyAlignment="1">
      <alignment horizontal="right"/>
    </xf>
    <xf numFmtId="164" fontId="18" fillId="39" borderId="0" xfId="0" applyNumberFormat="1" applyFont="1" applyFill="1" applyBorder="1" applyAlignment="1">
      <alignment horizontal="right" vertical="center"/>
    </xf>
    <xf numFmtId="164" fontId="15" fillId="39" borderId="0" xfId="0" applyNumberFormat="1" applyFont="1" applyFill="1" applyBorder="1" applyAlignment="1">
      <alignment horizontal="right" vertical="center"/>
    </xf>
    <xf numFmtId="164" fontId="18" fillId="39" borderId="10" xfId="0" applyNumberFormat="1" applyFont="1" applyFill="1" applyBorder="1" applyAlignment="1">
      <alignment horizontal="right"/>
    </xf>
    <xf numFmtId="164" fontId="18" fillId="39" borderId="10" xfId="0" applyNumberFormat="1" applyFont="1" applyFill="1" applyBorder="1" applyAlignment="1">
      <alignment horizontal="right" vertical="center"/>
    </xf>
    <xf numFmtId="164" fontId="15" fillId="39" borderId="10" xfId="0" applyNumberFormat="1" applyFont="1" applyFill="1" applyBorder="1" applyAlignment="1">
      <alignment horizontal="right" vertical="center"/>
    </xf>
    <xf numFmtId="164" fontId="17" fillId="0" borderId="0" xfId="0" applyNumberFormat="1" applyFont="1" applyBorder="1" applyAlignment="1">
      <alignment horizontal="right" vertical="center"/>
    </xf>
    <xf numFmtId="164" fontId="17" fillId="39" borderId="0" xfId="0" applyNumberFormat="1" applyFont="1" applyFill="1" applyBorder="1" applyAlignment="1">
      <alignment horizontal="right" vertical="center"/>
    </xf>
    <xf numFmtId="164" fontId="1" fillId="39" borderId="0" xfId="0" applyNumberFormat="1" applyFont="1" applyFill="1" applyBorder="1" applyAlignment="1">
      <alignment horizontal="right" vertical="center"/>
    </xf>
    <xf numFmtId="164" fontId="1" fillId="40" borderId="0" xfId="0" applyNumberFormat="1" applyFont="1" applyFill="1" applyBorder="1" applyAlignment="1">
      <alignment horizontal="right" vertical="center"/>
    </xf>
    <xf numFmtId="164" fontId="1" fillId="39" borderId="0" xfId="0" applyNumberFormat="1" applyFont="1" applyFill="1" applyBorder="1" applyAlignment="1">
      <alignment/>
    </xf>
    <xf numFmtId="164" fontId="1"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 fillId="0" borderId="0" xfId="0" applyNumberFormat="1" applyFont="1" applyBorder="1" applyAlignment="1">
      <alignment horizontal="right" vertical="center"/>
    </xf>
    <xf numFmtId="164" fontId="1" fillId="40" borderId="11" xfId="0" applyNumberFormat="1" applyFont="1" applyFill="1" applyBorder="1" applyAlignment="1">
      <alignment horizontal="right" vertical="center"/>
    </xf>
    <xf numFmtId="164" fontId="1" fillId="39" borderId="0" xfId="0" applyNumberFormat="1" applyFont="1" applyFill="1" applyBorder="1" applyAlignment="1">
      <alignment horizontal="center" vertical="center"/>
    </xf>
    <xf numFmtId="164" fontId="17" fillId="40" borderId="0" xfId="0" applyNumberFormat="1" applyFont="1" applyFill="1" applyBorder="1" applyAlignment="1">
      <alignment horizontal="right" vertical="center"/>
    </xf>
    <xf numFmtId="164" fontId="1" fillId="40" borderId="0"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164" fontId="1" fillId="0" borderId="11" xfId="0" applyNumberFormat="1" applyFont="1" applyBorder="1" applyAlignment="1">
      <alignment horizontal="right" vertical="center"/>
    </xf>
    <xf numFmtId="164" fontId="1" fillId="0" borderId="10" xfId="0" applyNumberFormat="1" applyFont="1" applyBorder="1" applyAlignment="1">
      <alignment horizontal="right" vertical="center"/>
    </xf>
    <xf numFmtId="164" fontId="17" fillId="0" borderId="10" xfId="0" applyNumberFormat="1" applyFont="1" applyBorder="1" applyAlignment="1">
      <alignment horizontal="right" vertical="center"/>
    </xf>
    <xf numFmtId="164" fontId="1" fillId="39" borderId="14" xfId="0" applyNumberFormat="1" applyFont="1" applyFill="1" applyBorder="1" applyAlignment="1">
      <alignment horizontal="right" vertical="center"/>
    </xf>
    <xf numFmtId="164" fontId="17" fillId="39" borderId="14" xfId="0" applyNumberFormat="1" applyFont="1" applyFill="1" applyBorder="1" applyAlignment="1">
      <alignment horizontal="right" vertical="center"/>
    </xf>
    <xf numFmtId="164" fontId="17" fillId="39" borderId="10" xfId="0" applyNumberFormat="1" applyFont="1" applyFill="1" applyBorder="1" applyAlignment="1">
      <alignment horizontal="right" vertical="center"/>
    </xf>
    <xf numFmtId="164" fontId="1" fillId="0" borderId="14" xfId="0" applyNumberFormat="1" applyFont="1" applyFill="1" applyBorder="1" applyAlignment="1">
      <alignment horizontal="right" vertical="center"/>
    </xf>
    <xf numFmtId="164" fontId="17" fillId="0" borderId="10" xfId="0" applyNumberFormat="1" applyFont="1" applyFill="1" applyBorder="1" applyAlignment="1">
      <alignment horizontal="right" vertical="center"/>
    </xf>
    <xf numFmtId="0" fontId="15" fillId="0" borderId="0" xfId="0" applyFont="1" applyAlignment="1">
      <alignment/>
    </xf>
    <xf numFmtId="0" fontId="15" fillId="0" borderId="0" xfId="0" applyFont="1" applyAlignment="1">
      <alignment horizontal="left" vertical="center"/>
    </xf>
    <xf numFmtId="2" fontId="1" fillId="0" borderId="0" xfId="0" applyNumberFormat="1" applyFont="1" applyBorder="1" applyAlignment="1">
      <alignment vertical="center"/>
    </xf>
    <xf numFmtId="0" fontId="15" fillId="39" borderId="24" xfId="0" applyFont="1" applyFill="1" applyBorder="1" applyAlignment="1">
      <alignment horizontal="center"/>
    </xf>
    <xf numFmtId="164" fontId="18" fillId="39" borderId="22" xfId="0" applyNumberFormat="1" applyFont="1" applyFill="1" applyBorder="1" applyAlignment="1">
      <alignment horizontal="center"/>
    </xf>
    <xf numFmtId="0" fontId="15" fillId="39" borderId="24" xfId="0" applyFont="1" applyFill="1" applyBorder="1" applyAlignment="1">
      <alignment horizontal="center" vertical="center"/>
    </xf>
    <xf numFmtId="164" fontId="18" fillId="39" borderId="2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9" fontId="1" fillId="0" borderId="0" xfId="0" applyNumberFormat="1" applyFont="1" applyAlignment="1">
      <alignment horizontal="center"/>
    </xf>
    <xf numFmtId="0" fontId="9" fillId="0" borderId="0" xfId="0" applyFont="1" applyBorder="1" applyAlignment="1">
      <alignment vertical="top"/>
    </xf>
    <xf numFmtId="0" fontId="9" fillId="0" borderId="0" xfId="0" applyFont="1" applyFill="1" applyBorder="1" applyAlignment="1" quotePrefix="1">
      <alignment horizontal="right"/>
    </xf>
    <xf numFmtId="0" fontId="8" fillId="0" borderId="0" xfId="0" applyFont="1" applyBorder="1" applyAlignment="1" quotePrefix="1">
      <alignment horizontal="right"/>
    </xf>
    <xf numFmtId="9" fontId="1" fillId="0" borderId="0" xfId="0" applyNumberFormat="1" applyFont="1" applyAlignment="1">
      <alignment horizontal="center" vertical="top"/>
    </xf>
    <xf numFmtId="0" fontId="8" fillId="0" borderId="0" xfId="0" applyFont="1" applyBorder="1" applyAlignment="1">
      <alignment horizontal="center" vertical="top"/>
    </xf>
    <xf numFmtId="0" fontId="1" fillId="0" borderId="0" xfId="0" applyFont="1" applyAlignment="1">
      <alignment vertical="top"/>
    </xf>
    <xf numFmtId="0" fontId="1" fillId="0" borderId="0" xfId="0" applyFont="1" applyBorder="1" applyAlignment="1">
      <alignment horizontal="right" vertical="center"/>
    </xf>
    <xf numFmtId="0" fontId="14" fillId="0" borderId="0" xfId="0" applyFont="1" applyAlignment="1">
      <alignment/>
    </xf>
    <xf numFmtId="1" fontId="15" fillId="35" borderId="0" xfId="0" applyNumberFormat="1" applyFont="1" applyFill="1" applyBorder="1" applyAlignment="1">
      <alignment horizontal="center" vertical="center"/>
    </xf>
    <xf numFmtId="0" fontId="15" fillId="35" borderId="16" xfId="0" applyFont="1" applyFill="1" applyBorder="1" applyAlignment="1">
      <alignment horizontal="center" vertical="top"/>
    </xf>
    <xf numFmtId="2" fontId="18" fillId="39" borderId="12" xfId="0" applyNumberFormat="1" applyFont="1" applyFill="1" applyBorder="1" applyAlignment="1">
      <alignment vertical="center"/>
    </xf>
    <xf numFmtId="164" fontId="18" fillId="39" borderId="13" xfId="0" applyNumberFormat="1" applyFont="1" applyFill="1" applyBorder="1" applyAlignment="1">
      <alignment vertical="center"/>
    </xf>
    <xf numFmtId="164" fontId="18" fillId="39" borderId="14" xfId="0" applyNumberFormat="1" applyFont="1" applyFill="1" applyBorder="1" applyAlignment="1">
      <alignment vertical="center"/>
    </xf>
    <xf numFmtId="164" fontId="18" fillId="39" borderId="12" xfId="0" applyNumberFormat="1" applyFont="1" applyFill="1" applyBorder="1" applyAlignment="1">
      <alignment horizontal="right"/>
    </xf>
    <xf numFmtId="164" fontId="1" fillId="0" borderId="0" xfId="0" applyNumberFormat="1" applyFont="1" applyAlignment="1">
      <alignment/>
    </xf>
    <xf numFmtId="2" fontId="18" fillId="39" borderId="15" xfId="0" applyNumberFormat="1" applyFont="1" applyFill="1" applyBorder="1" applyAlignment="1">
      <alignment vertical="center"/>
    </xf>
    <xf numFmtId="164" fontId="18" fillId="39" borderId="20" xfId="0" applyNumberFormat="1" applyFont="1" applyFill="1" applyBorder="1" applyAlignment="1">
      <alignment vertical="center"/>
    </xf>
    <xf numFmtId="164" fontId="18" fillId="39" borderId="0" xfId="0" applyNumberFormat="1" applyFont="1" applyFill="1" applyBorder="1" applyAlignment="1">
      <alignment vertical="center"/>
    </xf>
    <xf numFmtId="164" fontId="18" fillId="39" borderId="15" xfId="0" applyNumberFormat="1" applyFont="1" applyFill="1" applyBorder="1" applyAlignment="1">
      <alignment horizontal="right"/>
    </xf>
    <xf numFmtId="2" fontId="18" fillId="39" borderId="16" xfId="0" applyNumberFormat="1" applyFont="1" applyFill="1" applyBorder="1" applyAlignment="1">
      <alignment vertical="center"/>
    </xf>
    <xf numFmtId="164" fontId="18" fillId="39" borderId="18" xfId="0" applyNumberFormat="1" applyFont="1" applyFill="1" applyBorder="1" applyAlignment="1">
      <alignment vertical="center"/>
    </xf>
    <xf numFmtId="164" fontId="18" fillId="39" borderId="10" xfId="0" applyNumberFormat="1" applyFont="1" applyFill="1" applyBorder="1" applyAlignment="1">
      <alignment vertical="center"/>
    </xf>
    <xf numFmtId="164" fontId="18" fillId="39" borderId="16" xfId="0" applyNumberFormat="1" applyFont="1" applyFill="1" applyBorder="1" applyAlignment="1">
      <alignment horizontal="right"/>
    </xf>
    <xf numFmtId="2" fontId="1" fillId="0" borderId="15" xfId="0" applyNumberFormat="1" applyFont="1" applyBorder="1" applyAlignment="1">
      <alignment horizontal="right" vertical="center"/>
    </xf>
    <xf numFmtId="164" fontId="17" fillId="0" borderId="15" xfId="0" applyNumberFormat="1" applyFont="1" applyBorder="1" applyAlignment="1">
      <alignment horizontal="right" vertical="center"/>
    </xf>
    <xf numFmtId="2" fontId="1" fillId="39" borderId="15" xfId="0" applyNumberFormat="1" applyFont="1" applyFill="1" applyBorder="1" applyAlignment="1">
      <alignment horizontal="right" vertical="center"/>
    </xf>
    <xf numFmtId="164" fontId="17" fillId="39" borderId="15" xfId="0" applyNumberFormat="1" applyFont="1" applyFill="1" applyBorder="1" applyAlignment="1">
      <alignment horizontal="right" vertical="center"/>
    </xf>
    <xf numFmtId="0" fontId="1" fillId="0" borderId="0" xfId="0" applyFont="1" applyFill="1" applyAlignment="1">
      <alignment horizontal="center"/>
    </xf>
    <xf numFmtId="2" fontId="1" fillId="0" borderId="15" xfId="0" applyNumberFormat="1" applyFont="1" applyFill="1" applyBorder="1" applyAlignment="1" quotePrefix="1">
      <alignment horizontal="right" vertical="center"/>
    </xf>
    <xf numFmtId="164" fontId="1" fillId="0" borderId="0" xfId="0" applyNumberFormat="1" applyFont="1" applyFill="1" applyBorder="1" applyAlignment="1" quotePrefix="1">
      <alignment horizontal="right" vertical="center"/>
    </xf>
    <xf numFmtId="164" fontId="1" fillId="40" borderId="25" xfId="0" applyNumberFormat="1" applyFont="1" applyFill="1" applyBorder="1" applyAlignment="1">
      <alignment horizontal="right" vertical="center"/>
    </xf>
    <xf numFmtId="164" fontId="1" fillId="40" borderId="15" xfId="0" applyNumberFormat="1" applyFont="1" applyFill="1" applyBorder="1" applyAlignment="1">
      <alignment horizontal="right" vertical="center"/>
    </xf>
    <xf numFmtId="164" fontId="1" fillId="39" borderId="15" xfId="0" applyNumberFormat="1" applyFont="1" applyFill="1" applyBorder="1" applyAlignment="1">
      <alignment/>
    </xf>
    <xf numFmtId="0" fontId="19" fillId="0" borderId="0" xfId="0" applyFont="1" applyAlignment="1">
      <alignment vertical="center"/>
    </xf>
    <xf numFmtId="2" fontId="17" fillId="0" borderId="15" xfId="0" applyNumberFormat="1" applyFont="1" applyBorder="1" applyAlignment="1">
      <alignment/>
    </xf>
    <xf numFmtId="164" fontId="17" fillId="0" borderId="0" xfId="0" applyNumberFormat="1" applyFont="1" applyBorder="1" applyAlignment="1">
      <alignment/>
    </xf>
    <xf numFmtId="164" fontId="17" fillId="0" borderId="15" xfId="0" applyNumberFormat="1" applyFont="1" applyFill="1" applyBorder="1" applyAlignment="1">
      <alignment horizontal="right" vertical="center"/>
    </xf>
    <xf numFmtId="2" fontId="17" fillId="39" borderId="15" xfId="0" applyNumberFormat="1" applyFont="1" applyFill="1" applyBorder="1" applyAlignment="1">
      <alignment horizontal="right" vertical="center"/>
    </xf>
    <xf numFmtId="164" fontId="1" fillId="0" borderId="20" xfId="0" applyNumberFormat="1" applyFont="1" applyBorder="1" applyAlignment="1">
      <alignment horizontal="right" vertical="center"/>
    </xf>
    <xf numFmtId="164" fontId="1" fillId="0" borderId="15" xfId="0" applyNumberFormat="1" applyFont="1" applyBorder="1" applyAlignment="1">
      <alignment horizontal="right" vertical="center"/>
    </xf>
    <xf numFmtId="164" fontId="1" fillId="39" borderId="15"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164" fontId="1" fillId="0" borderId="20" xfId="0" applyNumberFormat="1" applyFont="1" applyFill="1" applyBorder="1" applyAlignment="1">
      <alignment horizontal="right" vertical="center"/>
    </xf>
    <xf numFmtId="164" fontId="1" fillId="0" borderId="26" xfId="0" applyNumberFormat="1" applyFont="1" applyFill="1" applyBorder="1" applyAlignment="1">
      <alignment horizontal="right" vertical="center"/>
    </xf>
    <xf numFmtId="164" fontId="1" fillId="0" borderId="25" xfId="0" applyNumberFormat="1" applyFont="1" applyFill="1" applyBorder="1" applyAlignment="1">
      <alignment horizontal="right" vertical="center"/>
    </xf>
    <xf numFmtId="164" fontId="17" fillId="39" borderId="0" xfId="0" applyNumberFormat="1" applyFont="1" applyFill="1" applyBorder="1" applyAlignment="1">
      <alignment/>
    </xf>
    <xf numFmtId="164" fontId="17" fillId="0" borderId="0" xfId="0" applyNumberFormat="1" applyFont="1" applyFill="1" applyBorder="1" applyAlignment="1">
      <alignment/>
    </xf>
    <xf numFmtId="2" fontId="17" fillId="0" borderId="15" xfId="0" applyNumberFormat="1" applyFont="1" applyFill="1" applyBorder="1" applyAlignment="1">
      <alignment horizontal="right" vertical="center"/>
    </xf>
    <xf numFmtId="164" fontId="1" fillId="39" borderId="26" xfId="0" applyNumberFormat="1" applyFont="1" applyFill="1" applyBorder="1" applyAlignment="1">
      <alignment horizontal="right" vertical="center"/>
    </xf>
    <xf numFmtId="201" fontId="20" fillId="0" borderId="0" xfId="59" applyNumberFormat="1" applyFont="1">
      <alignment/>
      <protection/>
    </xf>
    <xf numFmtId="2" fontId="1" fillId="39" borderId="26" xfId="0" applyNumberFormat="1" applyFont="1" applyFill="1" applyBorder="1" applyAlignment="1">
      <alignment horizontal="right" vertical="center"/>
    </xf>
    <xf numFmtId="164" fontId="15" fillId="0" borderId="0" xfId="0" applyNumberFormat="1" applyFont="1" applyFill="1" applyAlignment="1">
      <alignment/>
    </xf>
    <xf numFmtId="164" fontId="1" fillId="0" borderId="0" xfId="0" applyNumberFormat="1" applyFont="1" applyBorder="1" applyAlignment="1">
      <alignment/>
    </xf>
    <xf numFmtId="164" fontId="1" fillId="0" borderId="15" xfId="0" applyNumberFormat="1" applyFont="1" applyFill="1" applyBorder="1" applyAlignment="1">
      <alignment horizontal="right" vertical="center"/>
    </xf>
    <xf numFmtId="164" fontId="15" fillId="0" borderId="0" xfId="0" applyNumberFormat="1" applyFont="1" applyAlignment="1">
      <alignment/>
    </xf>
    <xf numFmtId="2" fontId="1" fillId="39" borderId="15" xfId="0" applyNumberFormat="1" applyFont="1" applyFill="1" applyBorder="1" applyAlignment="1" quotePrefix="1">
      <alignment horizontal="right" vertical="center"/>
    </xf>
    <xf numFmtId="164" fontId="1" fillId="39" borderId="0" xfId="0" applyNumberFormat="1" applyFont="1" applyFill="1" applyBorder="1" applyAlignment="1" quotePrefix="1">
      <alignment horizontal="right" vertical="center"/>
    </xf>
    <xf numFmtId="164" fontId="1" fillId="39" borderId="25" xfId="0" applyNumberFormat="1" applyFont="1" applyFill="1" applyBorder="1" applyAlignment="1">
      <alignment horizontal="right" vertical="center"/>
    </xf>
    <xf numFmtId="164" fontId="1" fillId="0" borderId="26" xfId="0" applyNumberFormat="1" applyFont="1" applyBorder="1" applyAlignment="1">
      <alignment horizontal="right" vertical="center"/>
    </xf>
    <xf numFmtId="164" fontId="1" fillId="0" borderId="16" xfId="0" applyNumberFormat="1" applyFont="1" applyBorder="1" applyAlignment="1">
      <alignment horizontal="right" vertical="center"/>
    </xf>
    <xf numFmtId="2" fontId="1" fillId="39" borderId="12" xfId="0" applyNumberFormat="1" applyFont="1" applyFill="1" applyBorder="1" applyAlignment="1">
      <alignment horizontal="right" vertical="center"/>
    </xf>
    <xf numFmtId="164" fontId="17" fillId="40" borderId="15" xfId="0" applyNumberFormat="1" applyFont="1" applyFill="1" applyBorder="1" applyAlignment="1">
      <alignment horizontal="right" vertical="center"/>
    </xf>
    <xf numFmtId="2" fontId="1" fillId="39" borderId="16" xfId="0" applyNumberFormat="1" applyFont="1" applyFill="1" applyBorder="1" applyAlignment="1">
      <alignment horizontal="right" vertical="center"/>
    </xf>
    <xf numFmtId="164" fontId="1" fillId="39" borderId="10" xfId="0" applyNumberFormat="1" applyFont="1" applyFill="1" applyBorder="1" applyAlignment="1">
      <alignment horizontal="right" vertical="center"/>
    </xf>
    <xf numFmtId="164" fontId="17" fillId="39" borderId="16" xfId="0" applyNumberFormat="1" applyFont="1" applyFill="1" applyBorder="1" applyAlignment="1">
      <alignment horizontal="right" vertical="center"/>
    </xf>
    <xf numFmtId="2" fontId="1" fillId="0" borderId="12" xfId="0" applyNumberFormat="1" applyFont="1" applyBorder="1" applyAlignment="1">
      <alignment horizontal="right" vertical="center"/>
    </xf>
    <xf numFmtId="164" fontId="1" fillId="0" borderId="14" xfId="0" applyNumberFormat="1" applyFont="1" applyBorder="1" applyAlignment="1">
      <alignment horizontal="right" vertical="center"/>
    </xf>
    <xf numFmtId="164" fontId="1" fillId="0" borderId="12" xfId="0" applyNumberFormat="1" applyFont="1" applyBorder="1" applyAlignment="1">
      <alignment horizontal="right" vertical="center"/>
    </xf>
    <xf numFmtId="2" fontId="1" fillId="0" borderId="16" xfId="0" applyNumberFormat="1" applyFont="1" applyBorder="1" applyAlignment="1">
      <alignment horizontal="right" vertical="center"/>
    </xf>
    <xf numFmtId="164" fontId="1" fillId="0" borderId="27" xfId="0" applyNumberFormat="1" applyFont="1" applyBorder="1" applyAlignment="1">
      <alignment horizontal="right" vertical="center"/>
    </xf>
    <xf numFmtId="0" fontId="15" fillId="0" borderId="0" xfId="0" applyFont="1" applyBorder="1" applyAlignment="1">
      <alignment/>
    </xf>
    <xf numFmtId="0" fontId="15" fillId="0" borderId="14" xfId="0" applyFont="1" applyBorder="1" applyAlignment="1">
      <alignment horizontal="left" wrapText="1"/>
    </xf>
    <xf numFmtId="0" fontId="1" fillId="0" borderId="0" xfId="0" applyFont="1" applyBorder="1" applyAlignment="1" quotePrefix="1">
      <alignment horizontal="lef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21" fillId="0" borderId="0" xfId="0" applyFont="1" applyBorder="1" applyAlignment="1">
      <alignment horizontal="left" vertical="center"/>
    </xf>
    <xf numFmtId="0" fontId="15" fillId="0" borderId="0" xfId="0" applyFont="1" applyAlignment="1">
      <alignment vertical="top"/>
    </xf>
    <xf numFmtId="0" fontId="15" fillId="0" borderId="0" xfId="0" applyFont="1" applyBorder="1" applyAlignment="1">
      <alignment vertical="top"/>
    </xf>
    <xf numFmtId="3" fontId="22" fillId="41" borderId="0" xfId="63" applyNumberFormat="1" applyFont="1" applyFill="1" applyAlignment="1">
      <alignment horizontal="right"/>
      <protection/>
    </xf>
    <xf numFmtId="3" fontId="22" fillId="41" borderId="0" xfId="63" applyNumberFormat="1" applyFont="1" applyFill="1" applyAlignment="1">
      <alignment horizontal="left"/>
      <protection/>
    </xf>
    <xf numFmtId="3" fontId="1" fillId="0" borderId="0" xfId="0" applyNumberFormat="1" applyFont="1" applyAlignment="1">
      <alignment/>
    </xf>
    <xf numFmtId="165" fontId="1" fillId="0" borderId="0" xfId="0" applyNumberFormat="1" applyFont="1" applyAlignment="1">
      <alignment/>
    </xf>
    <xf numFmtId="1" fontId="15" fillId="0" borderId="0" xfId="0" applyNumberFormat="1" applyFont="1" applyFill="1" applyBorder="1" applyAlignment="1">
      <alignment horizontal="center" vertical="center"/>
    </xf>
    <xf numFmtId="1" fontId="15" fillId="35" borderId="15" xfId="0" applyNumberFormat="1" applyFont="1" applyFill="1" applyBorder="1" applyAlignment="1">
      <alignment horizontal="center" vertical="center"/>
    </xf>
    <xf numFmtId="0" fontId="15" fillId="35" borderId="15" xfId="0" applyFont="1" applyFill="1" applyBorder="1" applyAlignment="1">
      <alignment horizontal="center" vertical="top"/>
    </xf>
    <xf numFmtId="164" fontId="1" fillId="39" borderId="12" xfId="0" applyNumberFormat="1" applyFont="1" applyFill="1" applyBorder="1" applyAlignment="1">
      <alignment horizontal="right"/>
    </xf>
    <xf numFmtId="164" fontId="15" fillId="39" borderId="14" xfId="0" applyNumberFormat="1" applyFont="1" applyFill="1" applyBorder="1" applyAlignment="1">
      <alignment horizontal="right"/>
    </xf>
    <xf numFmtId="164" fontId="17" fillId="39" borderId="15" xfId="0" applyNumberFormat="1" applyFont="1" applyFill="1" applyBorder="1" applyAlignment="1">
      <alignment horizontal="right"/>
    </xf>
    <xf numFmtId="164" fontId="17" fillId="39" borderId="16" xfId="0" applyNumberFormat="1" applyFont="1" applyFill="1" applyBorder="1" applyAlignment="1">
      <alignment horizontal="right"/>
    </xf>
    <xf numFmtId="164" fontId="15" fillId="39" borderId="10" xfId="0" applyNumberFormat="1" applyFont="1" applyFill="1" applyBorder="1" applyAlignment="1">
      <alignment horizontal="right"/>
    </xf>
    <xf numFmtId="2" fontId="1" fillId="40" borderId="15" xfId="0" applyNumberFormat="1" applyFont="1" applyFill="1" applyBorder="1" applyAlignment="1" quotePrefix="1">
      <alignment horizontal="right" vertical="center"/>
    </xf>
    <xf numFmtId="164" fontId="1" fillId="40" borderId="0" xfId="0" applyNumberFormat="1" applyFont="1" applyFill="1" applyBorder="1" applyAlignment="1" quotePrefix="1">
      <alignment horizontal="right" vertical="center"/>
    </xf>
    <xf numFmtId="164" fontId="1" fillId="40" borderId="26" xfId="0" applyNumberFormat="1" applyFont="1" applyFill="1" applyBorder="1" applyAlignment="1">
      <alignment horizontal="right" vertical="center"/>
    </xf>
    <xf numFmtId="2" fontId="1" fillId="40" borderId="15" xfId="0" applyNumberFormat="1" applyFont="1" applyFill="1" applyBorder="1" applyAlignment="1">
      <alignment horizontal="right" vertical="center"/>
    </xf>
    <xf numFmtId="2" fontId="1" fillId="40" borderId="26" xfId="0" applyNumberFormat="1" applyFont="1" applyFill="1" applyBorder="1" applyAlignment="1">
      <alignment horizontal="right" vertical="center"/>
    </xf>
    <xf numFmtId="2" fontId="17" fillId="40" borderId="15" xfId="0" applyNumberFormat="1" applyFont="1" applyFill="1" applyBorder="1" applyAlignment="1">
      <alignment horizontal="right" vertical="center"/>
    </xf>
    <xf numFmtId="2" fontId="17" fillId="0" borderId="16" xfId="0" applyNumberFormat="1" applyFont="1" applyBorder="1" applyAlignment="1">
      <alignment horizontal="right" vertical="center"/>
    </xf>
    <xf numFmtId="164" fontId="17" fillId="0" borderId="28" xfId="0" applyNumberFormat="1" applyFont="1" applyBorder="1" applyAlignment="1">
      <alignment horizontal="right" vertical="center"/>
    </xf>
    <xf numFmtId="164" fontId="17" fillId="0" borderId="16" xfId="0" applyNumberFormat="1" applyFont="1" applyBorder="1" applyAlignment="1">
      <alignment horizontal="right" vertical="center"/>
    </xf>
    <xf numFmtId="2" fontId="1" fillId="40" borderId="12" xfId="0" applyNumberFormat="1" applyFont="1" applyFill="1" applyBorder="1" applyAlignment="1">
      <alignment horizontal="right" vertical="center"/>
    </xf>
    <xf numFmtId="164" fontId="1" fillId="40" borderId="14" xfId="0" applyNumberFormat="1" applyFont="1" applyFill="1" applyBorder="1" applyAlignment="1">
      <alignment horizontal="right" vertical="center"/>
    </xf>
    <xf numFmtId="164" fontId="17" fillId="0" borderId="12" xfId="0" applyNumberFormat="1" applyFont="1" applyBorder="1" applyAlignment="1">
      <alignment horizontal="right" vertical="center"/>
    </xf>
    <xf numFmtId="2" fontId="1" fillId="40" borderId="16" xfId="0" applyNumberFormat="1" applyFont="1" applyFill="1" applyBorder="1" applyAlignment="1">
      <alignment horizontal="right" vertical="center"/>
    </xf>
    <xf numFmtId="164" fontId="1" fillId="40" borderId="10" xfId="0" applyNumberFormat="1" applyFont="1" applyFill="1" applyBorder="1" applyAlignment="1">
      <alignment horizontal="right" vertical="center"/>
    </xf>
    <xf numFmtId="164" fontId="1" fillId="40" borderId="28" xfId="0" applyNumberFormat="1" applyFont="1" applyFill="1" applyBorder="1" applyAlignment="1">
      <alignment horizontal="right" vertical="center"/>
    </xf>
    <xf numFmtId="164" fontId="1" fillId="40" borderId="27" xfId="0" applyNumberFormat="1" applyFont="1" applyFill="1" applyBorder="1" applyAlignment="1">
      <alignment horizontal="right" vertical="center"/>
    </xf>
    <xf numFmtId="49" fontId="15" fillId="0" borderId="14" xfId="0" applyNumberFormat="1" applyFont="1" applyBorder="1" applyAlignment="1">
      <alignment horizontal="left"/>
    </xf>
    <xf numFmtId="49" fontId="15" fillId="0" borderId="14" xfId="0" applyNumberFormat="1" applyFont="1" applyBorder="1" applyAlignment="1">
      <alignment horizontal="left" wrapText="1"/>
    </xf>
    <xf numFmtId="0" fontId="15" fillId="0" borderId="0" xfId="0" applyFont="1" applyBorder="1" applyAlignment="1">
      <alignment horizontal="left"/>
    </xf>
    <xf numFmtId="0" fontId="15" fillId="0" borderId="0" xfId="0" applyFont="1" applyBorder="1" applyAlignment="1" quotePrefix="1">
      <alignment horizontal="left" vertical="center"/>
    </xf>
    <xf numFmtId="0" fontId="17" fillId="0" borderId="0" xfId="0" applyFont="1" applyBorder="1" applyAlignment="1">
      <alignment horizontal="left" vertical="center"/>
    </xf>
    <xf numFmtId="0" fontId="15" fillId="0" borderId="0" xfId="0" applyFont="1" applyBorder="1" applyAlignment="1">
      <alignment horizontal="center"/>
    </xf>
    <xf numFmtId="0" fontId="1" fillId="0" borderId="0" xfId="0" applyFont="1" applyAlignment="1">
      <alignment/>
    </xf>
    <xf numFmtId="49" fontId="1" fillId="0" borderId="0" xfId="0" applyNumberFormat="1" applyFont="1" applyAlignment="1">
      <alignment vertical="top"/>
    </xf>
    <xf numFmtId="49" fontId="15" fillId="0" borderId="0" xfId="0" applyNumberFormat="1" applyFont="1" applyAlignment="1">
      <alignment vertical="top"/>
    </xf>
    <xf numFmtId="0" fontId="0" fillId="0" borderId="0" xfId="0" applyAlignment="1">
      <alignment horizontal="left" vertical="top" wrapText="1"/>
    </xf>
    <xf numFmtId="0" fontId="1" fillId="0" borderId="0" xfId="0" applyFont="1" applyBorder="1" applyAlignment="1">
      <alignment vertical="top"/>
    </xf>
    <xf numFmtId="0" fontId="1" fillId="0" borderId="0" xfId="0" applyFont="1" applyBorder="1" applyAlignment="1" quotePrefix="1">
      <alignment horizontal="left" vertical="top"/>
    </xf>
    <xf numFmtId="0" fontId="15" fillId="0" borderId="0" xfId="0" applyFont="1" applyBorder="1" applyAlignment="1">
      <alignment horizontal="center" vertical="top"/>
    </xf>
    <xf numFmtId="0" fontId="1" fillId="0" borderId="0" xfId="0" applyFont="1" applyAlignment="1" quotePrefix="1">
      <alignment vertical="top"/>
    </xf>
    <xf numFmtId="0" fontId="0" fillId="0" borderId="0" xfId="0" applyAlignment="1">
      <alignment vertical="top"/>
    </xf>
    <xf numFmtId="0" fontId="61" fillId="0" borderId="0" xfId="65" applyAlignment="1" applyProtection="1">
      <alignment horizontal="right"/>
      <protection locked="0"/>
    </xf>
    <xf numFmtId="0" fontId="1" fillId="0" borderId="0" xfId="0" applyFont="1" applyAlignment="1">
      <alignment horizontal="center" vertical="top"/>
    </xf>
    <xf numFmtId="164" fontId="15" fillId="39" borderId="12" xfId="0" applyNumberFormat="1" applyFont="1" applyFill="1" applyBorder="1" applyAlignment="1">
      <alignment horizontal="right"/>
    </xf>
    <xf numFmtId="164" fontId="18" fillId="39" borderId="12" xfId="0" applyNumberFormat="1" applyFont="1" applyFill="1" applyBorder="1" applyAlignment="1">
      <alignment horizontal="right" vertical="center"/>
    </xf>
    <xf numFmtId="0" fontId="15" fillId="39" borderId="17" xfId="0" applyFont="1" applyFill="1" applyBorder="1" applyAlignment="1">
      <alignment horizontal="center" vertical="center"/>
    </xf>
    <xf numFmtId="164" fontId="18" fillId="39" borderId="15" xfId="0" applyNumberFormat="1" applyFont="1" applyFill="1" applyBorder="1" applyAlignment="1">
      <alignment horizontal="right" vertical="center"/>
    </xf>
    <xf numFmtId="0" fontId="15" fillId="39" borderId="11" xfId="0" applyFont="1" applyFill="1" applyBorder="1" applyAlignment="1">
      <alignment horizontal="center" vertical="center"/>
    </xf>
    <xf numFmtId="164" fontId="18" fillId="39" borderId="16" xfId="0" applyNumberFormat="1" applyFont="1" applyFill="1" applyBorder="1" applyAlignment="1">
      <alignment vertical="center"/>
    </xf>
    <xf numFmtId="2" fontId="1" fillId="39" borderId="15" xfId="0" applyNumberFormat="1" applyFont="1" applyFill="1" applyBorder="1" applyAlignment="1">
      <alignment horizontal="center" vertical="center"/>
    </xf>
    <xf numFmtId="2" fontId="1" fillId="0" borderId="15" xfId="0" applyNumberFormat="1" applyFont="1" applyBorder="1" applyAlignment="1">
      <alignment horizontal="center" vertical="center"/>
    </xf>
    <xf numFmtId="2" fontId="1" fillId="39" borderId="20" xfId="0" applyNumberFormat="1" applyFont="1" applyFill="1" applyBorder="1" applyAlignment="1">
      <alignment horizontal="right" vertical="center"/>
    </xf>
    <xf numFmtId="164" fontId="1" fillId="39" borderId="15" xfId="0" applyNumberFormat="1" applyFont="1" applyFill="1" applyBorder="1" applyAlignment="1">
      <alignment horizontal="center" vertical="center"/>
    </xf>
    <xf numFmtId="164" fontId="17" fillId="40" borderId="26" xfId="0" applyNumberFormat="1" applyFont="1" applyFill="1" applyBorder="1" applyAlignment="1">
      <alignment horizontal="right" vertical="center"/>
    </xf>
    <xf numFmtId="2" fontId="1" fillId="40" borderId="15"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7" fillId="0" borderId="15" xfId="0" applyNumberFormat="1" applyFont="1" applyFill="1" applyBorder="1" applyAlignment="1">
      <alignment horizontal="center" vertical="center"/>
    </xf>
    <xf numFmtId="164" fontId="1" fillId="0" borderId="15" xfId="0" applyNumberFormat="1" applyFont="1" applyBorder="1" applyAlignment="1">
      <alignment horizontal="center" vertical="center"/>
    </xf>
    <xf numFmtId="164" fontId="1" fillId="0" borderId="29" xfId="0" applyNumberFormat="1" applyFont="1" applyBorder="1" applyAlignment="1">
      <alignment horizontal="right" vertical="center"/>
    </xf>
    <xf numFmtId="164" fontId="17" fillId="39" borderId="12" xfId="0" applyNumberFormat="1" applyFont="1" applyFill="1" applyBorder="1" applyAlignment="1">
      <alignment horizontal="right" vertical="center"/>
    </xf>
    <xf numFmtId="164" fontId="1" fillId="39" borderId="16" xfId="0" applyNumberFormat="1" applyFont="1" applyFill="1" applyBorder="1" applyAlignment="1">
      <alignment horizontal="right" vertical="center"/>
    </xf>
    <xf numFmtId="2" fontId="1" fillId="40" borderId="12" xfId="0" applyNumberFormat="1" applyFont="1" applyFill="1" applyBorder="1" applyAlignment="1">
      <alignment horizontal="center" vertical="center"/>
    </xf>
    <xf numFmtId="164" fontId="1" fillId="40" borderId="14"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xf>
    <xf numFmtId="164" fontId="1" fillId="0" borderId="16" xfId="0" applyNumberFormat="1" applyFont="1" applyFill="1" applyBorder="1" applyAlignment="1">
      <alignment horizontal="right" vertical="center"/>
    </xf>
    <xf numFmtId="0" fontId="1" fillId="0" borderId="0" xfId="0" applyFont="1" applyBorder="1" applyAlignment="1">
      <alignment/>
    </xf>
    <xf numFmtId="0" fontId="1" fillId="0" borderId="0" xfId="0" applyFont="1" applyAlignment="1">
      <alignment horizontal="left"/>
    </xf>
    <xf numFmtId="0" fontId="15" fillId="0" borderId="0" xfId="0" applyFont="1" applyBorder="1" applyAlignment="1">
      <alignment horizontal="left" vertical="top"/>
    </xf>
    <xf numFmtId="0" fontId="1" fillId="0" borderId="0" xfId="0" applyFont="1" applyAlignment="1">
      <alignment horizontal="left" vertical="top" wrapText="1"/>
    </xf>
    <xf numFmtId="2" fontId="15" fillId="39" borderId="12" xfId="0" applyNumberFormat="1" applyFont="1" applyFill="1" applyBorder="1" applyAlignment="1">
      <alignment horizontal="right" vertical="center"/>
    </xf>
    <xf numFmtId="164" fontId="15" fillId="39" borderId="13" xfId="0" applyNumberFormat="1" applyFont="1" applyFill="1" applyBorder="1" applyAlignment="1">
      <alignment horizontal="right" vertical="center"/>
    </xf>
    <xf numFmtId="2" fontId="15" fillId="39" borderId="15" xfId="0" applyNumberFormat="1" applyFont="1" applyFill="1" applyBorder="1" applyAlignment="1">
      <alignment horizontal="right" vertical="center"/>
    </xf>
    <xf numFmtId="164" fontId="15" fillId="39" borderId="20" xfId="0" applyNumberFormat="1" applyFont="1" applyFill="1" applyBorder="1" applyAlignment="1">
      <alignment horizontal="right" vertical="center"/>
    </xf>
    <xf numFmtId="0" fontId="15" fillId="0" borderId="0" xfId="0" applyFont="1" applyFill="1" applyBorder="1" applyAlignment="1">
      <alignment horizontal="right"/>
    </xf>
    <xf numFmtId="2" fontId="15" fillId="39" borderId="16" xfId="0" applyNumberFormat="1" applyFont="1" applyFill="1" applyBorder="1" applyAlignment="1">
      <alignment vertical="center"/>
    </xf>
    <xf numFmtId="164" fontId="15" fillId="39" borderId="18" xfId="0" applyNumberFormat="1" applyFont="1" applyFill="1" applyBorder="1" applyAlignment="1">
      <alignment vertical="center"/>
    </xf>
    <xf numFmtId="164" fontId="15" fillId="39" borderId="10" xfId="0" applyNumberFormat="1" applyFont="1" applyFill="1" applyBorder="1" applyAlignment="1">
      <alignment vertical="center"/>
    </xf>
    <xf numFmtId="164" fontId="15" fillId="39" borderId="16" xfId="0" applyNumberFormat="1" applyFont="1" applyFill="1" applyBorder="1" applyAlignment="1">
      <alignment vertical="center"/>
    </xf>
    <xf numFmtId="2" fontId="1" fillId="0" borderId="30" xfId="0" applyNumberFormat="1" applyFont="1" applyBorder="1" applyAlignment="1">
      <alignment horizontal="right" vertical="center"/>
    </xf>
    <xf numFmtId="2" fontId="1" fillId="0" borderId="0" xfId="0" applyNumberFormat="1" applyFont="1" applyFill="1" applyBorder="1" applyAlignment="1">
      <alignment horizontal="left" vertical="center"/>
    </xf>
    <xf numFmtId="164" fontId="1" fillId="0" borderId="11" xfId="0" applyNumberFormat="1" applyFont="1" applyFill="1" applyBorder="1" applyAlignment="1">
      <alignment horizontal="right" vertical="center"/>
    </xf>
    <xf numFmtId="2" fontId="1" fillId="0" borderId="31" xfId="0" applyNumberFormat="1" applyFont="1" applyBorder="1" applyAlignment="1">
      <alignment horizontal="right" vertical="center"/>
    </xf>
    <xf numFmtId="164" fontId="1" fillId="0" borderId="18" xfId="0" applyNumberFormat="1" applyFont="1" applyBorder="1" applyAlignment="1">
      <alignment horizontal="right" vertical="center"/>
    </xf>
    <xf numFmtId="164" fontId="1" fillId="39" borderId="17" xfId="0" applyNumberFormat="1" applyFont="1" applyFill="1" applyBorder="1" applyAlignment="1">
      <alignment horizontal="right" vertical="center"/>
    </xf>
    <xf numFmtId="164" fontId="1" fillId="39" borderId="11" xfId="0" applyNumberFormat="1" applyFont="1" applyFill="1" applyBorder="1" applyAlignment="1">
      <alignment horizontal="right" vertical="center"/>
    </xf>
    <xf numFmtId="164" fontId="1" fillId="40" borderId="17" xfId="0" applyNumberFormat="1" applyFont="1" applyFill="1" applyBorder="1" applyAlignment="1">
      <alignment horizontal="center" vertical="center"/>
    </xf>
    <xf numFmtId="164" fontId="1" fillId="40" borderId="19" xfId="0" applyNumberFormat="1" applyFont="1" applyFill="1" applyBorder="1" applyAlignment="1">
      <alignment horizontal="right" vertical="center"/>
    </xf>
    <xf numFmtId="171" fontId="14" fillId="0" borderId="0" xfId="42" applyNumberFormat="1" applyFont="1" applyAlignment="1">
      <alignment/>
    </xf>
    <xf numFmtId="0" fontId="52" fillId="42" borderId="0" xfId="0" applyFont="1" applyFill="1" applyAlignment="1">
      <alignment/>
    </xf>
    <xf numFmtId="1" fontId="0" fillId="0" borderId="12" xfId="0" applyNumberFormat="1" applyFill="1" applyBorder="1" applyAlignment="1">
      <alignment/>
    </xf>
    <xf numFmtId="1" fontId="0" fillId="0" borderId="15" xfId="0" applyNumberFormat="1" applyFill="1" applyBorder="1" applyAlignment="1">
      <alignment/>
    </xf>
    <xf numFmtId="3" fontId="9" fillId="36" borderId="0" xfId="42" applyNumberFormat="1" applyFont="1" applyFill="1" applyBorder="1" applyAlignment="1">
      <alignment horizontal="right"/>
    </xf>
    <xf numFmtId="3" fontId="9" fillId="0" borderId="0" xfId="42" applyNumberFormat="1" applyFont="1" applyFill="1" applyBorder="1" applyAlignment="1">
      <alignment horizontal="right"/>
    </xf>
    <xf numFmtId="3" fontId="9" fillId="35" borderId="0" xfId="42" applyNumberFormat="1" applyFont="1" applyFill="1" applyBorder="1" applyAlignment="1">
      <alignment horizontal="right"/>
    </xf>
    <xf numFmtId="165" fontId="9" fillId="0" borderId="0" xfId="0" applyNumberFormat="1" applyFont="1" applyFill="1" applyAlignment="1" quotePrefix="1">
      <alignment horizontal="right"/>
    </xf>
    <xf numFmtId="0" fontId="14" fillId="0" borderId="0" xfId="0" applyFont="1" applyFill="1" applyAlignment="1">
      <alignment/>
    </xf>
    <xf numFmtId="0" fontId="8" fillId="0" borderId="0" xfId="0" applyFont="1" applyFill="1" applyBorder="1" applyAlignment="1">
      <alignment horizontal="right"/>
    </xf>
    <xf numFmtId="0" fontId="6" fillId="0" borderId="0" xfId="0" applyFont="1" applyFill="1" applyBorder="1" applyAlignment="1">
      <alignment horizontal="right" textRotation="90" wrapText="1"/>
    </xf>
    <xf numFmtId="0" fontId="1" fillId="0" borderId="0" xfId="63" applyFont="1" applyAlignment="1">
      <alignment horizontal="center"/>
      <protection/>
    </xf>
    <xf numFmtId="0" fontId="0" fillId="0" borderId="0" xfId="63">
      <alignment/>
      <protection/>
    </xf>
    <xf numFmtId="0" fontId="8" fillId="0" borderId="0" xfId="63" applyFont="1" applyAlignment="1" quotePrefix="1">
      <alignment horizontal="right"/>
      <protection/>
    </xf>
    <xf numFmtId="0" fontId="1" fillId="0" borderId="0" xfId="63" applyFont="1" applyAlignment="1">
      <alignment horizontal="center" vertical="top"/>
      <protection/>
    </xf>
    <xf numFmtId="0" fontId="8" fillId="0" borderId="0" xfId="63" applyFont="1" applyBorder="1" applyAlignment="1">
      <alignment horizontal="center" vertical="top"/>
      <protection/>
    </xf>
    <xf numFmtId="0" fontId="0" fillId="0" borderId="0" xfId="63" applyFill="1" applyBorder="1">
      <alignment/>
      <protection/>
    </xf>
    <xf numFmtId="0" fontId="15" fillId="36" borderId="11" xfId="63" applyFont="1" applyFill="1" applyBorder="1" applyAlignment="1">
      <alignment horizontal="center" vertical="center"/>
      <protection/>
    </xf>
    <xf numFmtId="1" fontId="15" fillId="36" borderId="11" xfId="63" applyNumberFormat="1" applyFont="1" applyFill="1" applyBorder="1" applyAlignment="1">
      <alignment horizontal="center" vertical="center" wrapText="1"/>
      <protection/>
    </xf>
    <xf numFmtId="1" fontId="16" fillId="36" borderId="20" xfId="63" applyNumberFormat="1" applyFont="1" applyFill="1" applyBorder="1" applyAlignment="1">
      <alignment horizontal="right" vertical="center" wrapText="1"/>
      <protection/>
    </xf>
    <xf numFmtId="1" fontId="16" fillId="36" borderId="11" xfId="63" applyNumberFormat="1" applyFont="1" applyFill="1" applyBorder="1" applyAlignment="1">
      <alignment horizontal="center" vertical="center" wrapText="1"/>
      <protection/>
    </xf>
    <xf numFmtId="0" fontId="15" fillId="36" borderId="20" xfId="63" applyFont="1" applyFill="1" applyBorder="1" applyAlignment="1">
      <alignment horizontal="right" vertical="center"/>
      <protection/>
    </xf>
    <xf numFmtId="1" fontId="15" fillId="36" borderId="20" xfId="63" applyNumberFormat="1" applyFont="1" applyFill="1" applyBorder="1" applyAlignment="1">
      <alignment horizontal="right" vertical="center" wrapText="1"/>
      <protection/>
    </xf>
    <xf numFmtId="0" fontId="0" fillId="36" borderId="18" xfId="63" applyFill="1" applyBorder="1">
      <alignment/>
      <protection/>
    </xf>
    <xf numFmtId="0" fontId="0" fillId="36" borderId="11" xfId="63" applyFill="1" applyBorder="1">
      <alignment/>
      <protection/>
    </xf>
    <xf numFmtId="0" fontId="15" fillId="36" borderId="20" xfId="63" applyFont="1" applyFill="1" applyBorder="1" applyAlignment="1" quotePrefix="1">
      <alignment horizontal="right" vertical="center"/>
      <protection/>
    </xf>
    <xf numFmtId="0" fontId="15" fillId="36" borderId="11" xfId="63" applyFont="1" applyFill="1" applyBorder="1" applyAlignment="1" quotePrefix="1">
      <alignment horizontal="center" vertical="center"/>
      <protection/>
    </xf>
    <xf numFmtId="1" fontId="15" fillId="36" borderId="18" xfId="63" applyNumberFormat="1" applyFont="1" applyFill="1" applyBorder="1" applyAlignment="1">
      <alignment horizontal="right" vertical="center" wrapText="1"/>
      <protection/>
    </xf>
    <xf numFmtId="1" fontId="15" fillId="36" borderId="10" xfId="63" applyNumberFormat="1" applyFont="1" applyFill="1" applyBorder="1" applyAlignment="1">
      <alignment horizontal="center" vertical="center" wrapText="1"/>
      <protection/>
    </xf>
    <xf numFmtId="1" fontId="15" fillId="36" borderId="10" xfId="63" applyNumberFormat="1" applyFont="1" applyFill="1" applyBorder="1" applyAlignment="1">
      <alignment horizontal="right" vertical="center" wrapText="1"/>
      <protection/>
    </xf>
    <xf numFmtId="1" fontId="15" fillId="35" borderId="19" xfId="63" applyNumberFormat="1" applyFont="1" applyFill="1" applyBorder="1" applyAlignment="1">
      <alignment horizontal="center" vertical="center"/>
      <protection/>
    </xf>
    <xf numFmtId="0" fontId="15" fillId="39" borderId="12" xfId="63" applyFont="1" applyFill="1" applyBorder="1" applyAlignment="1">
      <alignment horizontal="center" vertical="center"/>
      <protection/>
    </xf>
    <xf numFmtId="165" fontId="15" fillId="39" borderId="13" xfId="63" applyNumberFormat="1" applyFont="1" applyFill="1" applyBorder="1" applyAlignment="1">
      <alignment horizontal="right" vertical="center"/>
      <protection/>
    </xf>
    <xf numFmtId="165" fontId="15" fillId="39" borderId="17" xfId="63" applyNumberFormat="1" applyFont="1" applyFill="1" applyBorder="1" applyAlignment="1">
      <alignment horizontal="right" vertical="center"/>
      <protection/>
    </xf>
    <xf numFmtId="166" fontId="15" fillId="39" borderId="13" xfId="63" applyNumberFormat="1" applyFont="1" applyFill="1" applyBorder="1" applyAlignment="1">
      <alignment vertical="center"/>
      <protection/>
    </xf>
    <xf numFmtId="166" fontId="23" fillId="39" borderId="17" xfId="63" applyNumberFormat="1" applyFont="1" applyFill="1" applyBorder="1" applyAlignment="1">
      <alignment vertical="center"/>
      <protection/>
    </xf>
    <xf numFmtId="165" fontId="15" fillId="39" borderId="13" xfId="63" applyNumberFormat="1" applyFont="1" applyFill="1" applyBorder="1" applyAlignment="1">
      <alignment horizontal="right" vertical="center" wrapText="1"/>
      <protection/>
    </xf>
    <xf numFmtId="165" fontId="15" fillId="39" borderId="17" xfId="63" applyNumberFormat="1" applyFont="1" applyFill="1" applyBorder="1" applyAlignment="1">
      <alignment horizontal="right" vertical="center" wrapText="1"/>
      <protection/>
    </xf>
    <xf numFmtId="176" fontId="15" fillId="39" borderId="13" xfId="63" applyNumberFormat="1" applyFont="1" applyFill="1" applyBorder="1" applyAlignment="1">
      <alignment horizontal="right" vertical="center" wrapText="1"/>
      <protection/>
    </xf>
    <xf numFmtId="176" fontId="15" fillId="39" borderId="14" xfId="63" applyNumberFormat="1" applyFont="1" applyFill="1" applyBorder="1" applyAlignment="1">
      <alignment horizontal="right" vertical="center" wrapText="1"/>
      <protection/>
    </xf>
    <xf numFmtId="202" fontId="15" fillId="39" borderId="14" xfId="63" applyNumberFormat="1" applyFont="1" applyFill="1" applyBorder="1" applyAlignment="1">
      <alignment horizontal="right" vertical="center" wrapText="1"/>
      <protection/>
    </xf>
    <xf numFmtId="176" fontId="15" fillId="39" borderId="17" xfId="63" applyNumberFormat="1" applyFont="1" applyFill="1" applyBorder="1" applyAlignment="1">
      <alignment horizontal="right" vertical="center" wrapText="1"/>
      <protection/>
    </xf>
    <xf numFmtId="0" fontId="15" fillId="39" borderId="0" xfId="63" applyFont="1" applyFill="1" applyBorder="1" applyAlignment="1">
      <alignment horizontal="center" vertical="center"/>
      <protection/>
    </xf>
    <xf numFmtId="0" fontId="15" fillId="39" borderId="15" xfId="63" applyFont="1" applyFill="1" applyBorder="1" applyAlignment="1">
      <alignment horizontal="center" vertical="center"/>
      <protection/>
    </xf>
    <xf numFmtId="165" fontId="15" fillId="39" borderId="20" xfId="63" applyNumberFormat="1" applyFont="1" applyFill="1" applyBorder="1" applyAlignment="1">
      <alignment horizontal="right" vertical="center"/>
      <protection/>
    </xf>
    <xf numFmtId="165" fontId="15" fillId="39" borderId="11" xfId="63" applyNumberFormat="1" applyFont="1" applyFill="1" applyBorder="1" applyAlignment="1">
      <alignment horizontal="right" vertical="center"/>
      <protection/>
    </xf>
    <xf numFmtId="166" fontId="15" fillId="39" borderId="20" xfId="63" applyNumberFormat="1" applyFont="1" applyFill="1" applyBorder="1" applyAlignment="1">
      <alignment vertical="center"/>
      <protection/>
    </xf>
    <xf numFmtId="166" fontId="23" fillId="39" borderId="11" xfId="63" applyNumberFormat="1" applyFont="1" applyFill="1" applyBorder="1" applyAlignment="1">
      <alignment vertical="center"/>
      <protection/>
    </xf>
    <xf numFmtId="165" fontId="15" fillId="39" borderId="20" xfId="63" applyNumberFormat="1" applyFont="1" applyFill="1" applyBorder="1" applyAlignment="1">
      <alignment horizontal="right" vertical="center" wrapText="1"/>
      <protection/>
    </xf>
    <xf numFmtId="165" fontId="15" fillId="39" borderId="11" xfId="63" applyNumberFormat="1" applyFont="1" applyFill="1" applyBorder="1" applyAlignment="1">
      <alignment horizontal="right" vertical="center" wrapText="1"/>
      <protection/>
    </xf>
    <xf numFmtId="202" fontId="15" fillId="39" borderId="20" xfId="63" applyNumberFormat="1" applyFont="1" applyFill="1" applyBorder="1" applyAlignment="1">
      <alignment horizontal="right" vertical="center" wrapText="1"/>
      <protection/>
    </xf>
    <xf numFmtId="202" fontId="15" fillId="39" borderId="0" xfId="63" applyNumberFormat="1" applyFont="1" applyFill="1" applyBorder="1" applyAlignment="1">
      <alignment horizontal="right" vertical="center" wrapText="1"/>
      <protection/>
    </xf>
    <xf numFmtId="202" fontId="15" fillId="39" borderId="11" xfId="63" applyNumberFormat="1" applyFont="1" applyFill="1" applyBorder="1" applyAlignment="1">
      <alignment horizontal="right" vertical="center" wrapText="1"/>
      <protection/>
    </xf>
    <xf numFmtId="0" fontId="15" fillId="39" borderId="16" xfId="63" applyFont="1" applyFill="1" applyBorder="1" applyAlignment="1">
      <alignment horizontal="center" vertical="center"/>
      <protection/>
    </xf>
    <xf numFmtId="165" fontId="15" fillId="39" borderId="18" xfId="63" applyNumberFormat="1" applyFont="1" applyFill="1" applyBorder="1" applyAlignment="1">
      <alignment horizontal="right" vertical="center"/>
      <protection/>
    </xf>
    <xf numFmtId="165" fontId="15" fillId="39" borderId="19" xfId="63" applyNumberFormat="1" applyFont="1" applyFill="1" applyBorder="1" applyAlignment="1">
      <alignment horizontal="right" vertical="center"/>
      <protection/>
    </xf>
    <xf numFmtId="166" fontId="15" fillId="39" borderId="18" xfId="63" applyNumberFormat="1" applyFont="1" applyFill="1" applyBorder="1" applyAlignment="1">
      <alignment vertical="center"/>
      <protection/>
    </xf>
    <xf numFmtId="165" fontId="23" fillId="39" borderId="19" xfId="63" applyNumberFormat="1" applyFont="1" applyFill="1" applyBorder="1" applyAlignment="1">
      <alignment horizontal="right" vertical="center"/>
      <protection/>
    </xf>
    <xf numFmtId="165" fontId="15" fillId="39" borderId="18" xfId="63" applyNumberFormat="1" applyFont="1" applyFill="1" applyBorder="1" applyAlignment="1">
      <alignment horizontal="right" vertical="center" wrapText="1"/>
      <protection/>
    </xf>
    <xf numFmtId="165" fontId="15" fillId="39" borderId="19" xfId="63" applyNumberFormat="1" applyFont="1" applyFill="1" applyBorder="1" applyAlignment="1">
      <alignment horizontal="right" vertical="center" wrapText="1"/>
      <protection/>
    </xf>
    <xf numFmtId="202" fontId="18" fillId="39" borderId="18" xfId="63" applyNumberFormat="1" applyFont="1" applyFill="1" applyBorder="1" applyAlignment="1">
      <alignment horizontal="right" vertical="center" wrapText="1"/>
      <protection/>
    </xf>
    <xf numFmtId="202" fontId="18" fillId="39" borderId="10" xfId="63" applyNumberFormat="1" applyFont="1" applyFill="1" applyBorder="1" applyAlignment="1">
      <alignment horizontal="right" vertical="center" wrapText="1"/>
      <protection/>
    </xf>
    <xf numFmtId="202" fontId="15" fillId="39" borderId="19" xfId="63" applyNumberFormat="1" applyFont="1" applyFill="1" applyBorder="1" applyAlignment="1">
      <alignment horizontal="right" vertical="center" wrapText="1"/>
      <protection/>
    </xf>
    <xf numFmtId="0" fontId="15" fillId="0" borderId="15" xfId="63" applyFont="1" applyFill="1" applyBorder="1" applyAlignment="1">
      <alignment horizontal="center" vertical="center"/>
      <protection/>
    </xf>
    <xf numFmtId="164" fontId="1" fillId="0" borderId="20" xfId="63" applyNumberFormat="1" applyFont="1" applyBorder="1" applyAlignment="1">
      <alignment vertical="center"/>
      <protection/>
    </xf>
    <xf numFmtId="165" fontId="1" fillId="0" borderId="11" xfId="63" applyNumberFormat="1" applyFont="1" applyFill="1" applyBorder="1" applyAlignment="1">
      <alignment horizontal="right" vertical="center"/>
      <protection/>
    </xf>
    <xf numFmtId="167" fontId="1" fillId="0" borderId="20" xfId="63" applyNumberFormat="1" applyFont="1" applyFill="1" applyBorder="1" applyAlignment="1">
      <alignment horizontal="right" vertical="center" wrapText="1"/>
      <protection/>
    </xf>
    <xf numFmtId="166" fontId="24" fillId="0" borderId="11" xfId="63" applyNumberFormat="1" applyFont="1" applyBorder="1" applyAlignment="1">
      <alignment vertical="center"/>
      <protection/>
    </xf>
    <xf numFmtId="164" fontId="1" fillId="0" borderId="20" xfId="63" applyNumberFormat="1" applyFont="1" applyFill="1" applyBorder="1" applyAlignment="1">
      <alignment horizontal="right" vertical="center" wrapText="1"/>
      <protection/>
    </xf>
    <xf numFmtId="165" fontId="1" fillId="0" borderId="11" xfId="63" applyNumberFormat="1" applyFont="1" applyFill="1" applyBorder="1" applyAlignment="1">
      <alignment horizontal="right" vertical="center" wrapText="1"/>
      <protection/>
    </xf>
    <xf numFmtId="176" fontId="1" fillId="0" borderId="0" xfId="63" applyNumberFormat="1" applyFont="1" applyFill="1" applyBorder="1" applyAlignment="1">
      <alignment horizontal="right" vertical="center" wrapText="1"/>
      <protection/>
    </xf>
    <xf numFmtId="176" fontId="1" fillId="0" borderId="11" xfId="63" applyNumberFormat="1" applyFont="1" applyFill="1" applyBorder="1" applyAlignment="1">
      <alignment horizontal="right" vertical="center" wrapText="1"/>
      <protection/>
    </xf>
    <xf numFmtId="0" fontId="15" fillId="0" borderId="0" xfId="63" applyFont="1" applyFill="1" applyBorder="1" applyAlignment="1">
      <alignment horizontal="center" vertical="center"/>
      <protection/>
    </xf>
    <xf numFmtId="164" fontId="1" fillId="39" borderId="20" xfId="63" applyNumberFormat="1" applyFont="1" applyFill="1" applyBorder="1" applyAlignment="1">
      <alignment vertical="center"/>
      <protection/>
    </xf>
    <xf numFmtId="165" fontId="1" fillId="39" borderId="11" xfId="63" applyNumberFormat="1" applyFont="1" applyFill="1" applyBorder="1" applyAlignment="1">
      <alignment horizontal="right" vertical="center"/>
      <protection/>
    </xf>
    <xf numFmtId="167" fontId="1" fillId="39" borderId="20" xfId="63" applyNumberFormat="1" applyFont="1" applyFill="1" applyBorder="1" applyAlignment="1">
      <alignment horizontal="right" vertical="center" wrapText="1"/>
      <protection/>
    </xf>
    <xf numFmtId="166" fontId="24" fillId="39" borderId="11" xfId="63" applyNumberFormat="1" applyFont="1" applyFill="1" applyBorder="1" applyAlignment="1">
      <alignment vertical="center"/>
      <protection/>
    </xf>
    <xf numFmtId="164" fontId="1" fillId="39" borderId="20" xfId="63" applyNumberFormat="1" applyFont="1" applyFill="1" applyBorder="1" applyAlignment="1">
      <alignment horizontal="right" vertical="center" wrapText="1"/>
      <protection/>
    </xf>
    <xf numFmtId="165" fontId="1" fillId="39" borderId="11" xfId="63" applyNumberFormat="1" applyFont="1" applyFill="1" applyBorder="1" applyAlignment="1">
      <alignment horizontal="right" vertical="center" wrapText="1"/>
      <protection/>
    </xf>
    <xf numFmtId="176" fontId="1" fillId="39" borderId="0" xfId="63" applyNumberFormat="1" applyFont="1" applyFill="1" applyBorder="1" applyAlignment="1">
      <alignment horizontal="right" vertical="center" wrapText="1"/>
      <protection/>
    </xf>
    <xf numFmtId="176" fontId="17" fillId="39" borderId="0" xfId="63" applyNumberFormat="1" applyFont="1" applyFill="1" applyBorder="1" applyAlignment="1">
      <alignment horizontal="right" vertical="center" wrapText="1"/>
      <protection/>
    </xf>
    <xf numFmtId="176" fontId="1" fillId="39" borderId="11" xfId="63" applyNumberFormat="1" applyFont="1" applyFill="1" applyBorder="1" applyAlignment="1">
      <alignment horizontal="right" vertical="center" wrapText="1"/>
      <protection/>
    </xf>
    <xf numFmtId="0" fontId="15" fillId="0" borderId="16" xfId="63" applyFont="1" applyFill="1" applyBorder="1" applyAlignment="1">
      <alignment horizontal="center" vertical="center"/>
      <protection/>
    </xf>
    <xf numFmtId="164" fontId="1" fillId="0" borderId="18" xfId="63" applyNumberFormat="1" applyFont="1" applyBorder="1" applyAlignment="1">
      <alignment vertical="center"/>
      <protection/>
    </xf>
    <xf numFmtId="165" fontId="1" fillId="0" borderId="19" xfId="63" applyNumberFormat="1" applyFont="1" applyFill="1" applyBorder="1" applyAlignment="1">
      <alignment horizontal="right" vertical="center"/>
      <protection/>
    </xf>
    <xf numFmtId="167" fontId="1" fillId="0" borderId="18" xfId="63" applyNumberFormat="1" applyFont="1" applyFill="1" applyBorder="1" applyAlignment="1">
      <alignment horizontal="right" vertical="center" wrapText="1"/>
      <protection/>
    </xf>
    <xf numFmtId="165" fontId="1" fillId="0" borderId="19" xfId="63" applyNumberFormat="1" applyFont="1" applyFill="1" applyBorder="1" applyAlignment="1">
      <alignment horizontal="right" vertical="center" wrapText="1"/>
      <protection/>
    </xf>
    <xf numFmtId="164" fontId="1" fillId="0" borderId="18" xfId="63" applyNumberFormat="1" applyFont="1" applyFill="1" applyBorder="1" applyAlignment="1">
      <alignment horizontal="right" vertical="center" wrapText="1"/>
      <protection/>
    </xf>
    <xf numFmtId="176" fontId="1" fillId="0" borderId="10" xfId="63" applyNumberFormat="1" applyFont="1" applyFill="1" applyBorder="1" applyAlignment="1">
      <alignment horizontal="right" vertical="center" wrapText="1"/>
      <protection/>
    </xf>
    <xf numFmtId="176" fontId="1" fillId="0" borderId="19" xfId="63" applyNumberFormat="1" applyFont="1" applyFill="1" applyBorder="1" applyAlignment="1">
      <alignment horizontal="right" vertical="center" wrapText="1"/>
      <protection/>
    </xf>
    <xf numFmtId="166" fontId="1" fillId="39" borderId="20" xfId="63" applyNumberFormat="1" applyFont="1" applyFill="1" applyBorder="1" applyAlignment="1">
      <alignment vertical="center"/>
      <protection/>
    </xf>
    <xf numFmtId="166" fontId="1" fillId="39" borderId="17" xfId="63" applyNumberFormat="1" applyFont="1" applyFill="1" applyBorder="1" applyAlignment="1">
      <alignment vertical="center"/>
      <protection/>
    </xf>
    <xf numFmtId="1" fontId="1" fillId="39" borderId="0" xfId="63" applyNumberFormat="1" applyFont="1" applyFill="1" applyBorder="1" applyAlignment="1">
      <alignment horizontal="right" vertical="center" wrapText="1"/>
      <protection/>
    </xf>
    <xf numFmtId="0" fontId="15" fillId="40" borderId="15" xfId="63" applyFont="1" applyFill="1" applyBorder="1" applyAlignment="1">
      <alignment horizontal="center" vertical="center"/>
      <protection/>
    </xf>
    <xf numFmtId="164" fontId="1" fillId="40" borderId="20" xfId="63" applyNumberFormat="1" applyFont="1" applyFill="1" applyBorder="1" applyAlignment="1">
      <alignment vertical="center"/>
      <protection/>
    </xf>
    <xf numFmtId="165" fontId="1" fillId="40" borderId="11" xfId="63" applyNumberFormat="1" applyFont="1" applyFill="1" applyBorder="1" applyAlignment="1">
      <alignment horizontal="right" vertical="center"/>
      <protection/>
    </xf>
    <xf numFmtId="166" fontId="1" fillId="40" borderId="20" xfId="63" applyNumberFormat="1" applyFont="1" applyFill="1" applyBorder="1" applyAlignment="1">
      <alignment vertical="center"/>
      <protection/>
    </xf>
    <xf numFmtId="166" fontId="24" fillId="40" borderId="11" xfId="63" applyNumberFormat="1" applyFont="1" applyFill="1" applyBorder="1" applyAlignment="1">
      <alignment vertical="center"/>
      <protection/>
    </xf>
    <xf numFmtId="164" fontId="1" fillId="40" borderId="20" xfId="63" applyNumberFormat="1" applyFont="1" applyFill="1" applyBorder="1" applyAlignment="1">
      <alignment horizontal="right" vertical="center" wrapText="1"/>
      <protection/>
    </xf>
    <xf numFmtId="165" fontId="1" fillId="40" borderId="11" xfId="63" applyNumberFormat="1" applyFont="1" applyFill="1" applyBorder="1" applyAlignment="1">
      <alignment horizontal="right" vertical="center" wrapText="1"/>
      <protection/>
    </xf>
    <xf numFmtId="1" fontId="1" fillId="40" borderId="0" xfId="63" applyNumberFormat="1" applyFont="1" applyFill="1" applyBorder="1" applyAlignment="1">
      <alignment horizontal="right" vertical="center" wrapText="1"/>
      <protection/>
    </xf>
    <xf numFmtId="176" fontId="1" fillId="40" borderId="0" xfId="63" applyNumberFormat="1" applyFont="1" applyFill="1" applyBorder="1" applyAlignment="1">
      <alignment horizontal="right" vertical="center" wrapText="1"/>
      <protection/>
    </xf>
    <xf numFmtId="1" fontId="17" fillId="40" borderId="0" xfId="63" applyNumberFormat="1" applyFont="1" applyFill="1" applyBorder="1" applyAlignment="1">
      <alignment horizontal="right" vertical="center" wrapText="1"/>
      <protection/>
    </xf>
    <xf numFmtId="176" fontId="1" fillId="40" borderId="11" xfId="63" applyNumberFormat="1" applyFont="1" applyFill="1" applyBorder="1" applyAlignment="1">
      <alignment horizontal="right" vertical="center" wrapText="1"/>
      <protection/>
    </xf>
    <xf numFmtId="0" fontId="15" fillId="40" borderId="0" xfId="63" applyFont="1" applyFill="1" applyBorder="1" applyAlignment="1">
      <alignment horizontal="center" vertical="center"/>
      <protection/>
    </xf>
    <xf numFmtId="0" fontId="15" fillId="0" borderId="12" xfId="63" applyFont="1" applyFill="1" applyBorder="1" applyAlignment="1">
      <alignment horizontal="center" vertical="center"/>
      <protection/>
    </xf>
    <xf numFmtId="164" fontId="1" fillId="0" borderId="13" xfId="63" applyNumberFormat="1" applyFont="1" applyBorder="1" applyAlignment="1">
      <alignment vertical="center"/>
      <protection/>
    </xf>
    <xf numFmtId="165" fontId="1" fillId="0" borderId="17" xfId="63" applyNumberFormat="1" applyFont="1" applyFill="1" applyBorder="1" applyAlignment="1">
      <alignment horizontal="right" vertical="center"/>
      <protection/>
    </xf>
    <xf numFmtId="166" fontId="1" fillId="0" borderId="13" xfId="63" applyNumberFormat="1" applyFont="1" applyBorder="1" applyAlignment="1">
      <alignment vertical="center"/>
      <protection/>
    </xf>
    <xf numFmtId="166" fontId="24" fillId="0" borderId="17" xfId="63" applyNumberFormat="1" applyFont="1" applyBorder="1" applyAlignment="1">
      <alignment vertical="center"/>
      <protection/>
    </xf>
    <xf numFmtId="164" fontId="1" fillId="0" borderId="13" xfId="63" applyNumberFormat="1" applyFont="1" applyFill="1" applyBorder="1" applyAlignment="1">
      <alignment horizontal="right" vertical="center" wrapText="1"/>
      <protection/>
    </xf>
    <xf numFmtId="165" fontId="1" fillId="0" borderId="17" xfId="63" applyNumberFormat="1" applyFont="1" applyFill="1" applyBorder="1" applyAlignment="1">
      <alignment horizontal="right" vertical="center" wrapText="1"/>
      <protection/>
    </xf>
    <xf numFmtId="176" fontId="1" fillId="0" borderId="14" xfId="63" applyNumberFormat="1" applyFont="1" applyFill="1" applyBorder="1" applyAlignment="1">
      <alignment horizontal="right" vertical="center" wrapText="1"/>
      <protection/>
    </xf>
    <xf numFmtId="176" fontId="1" fillId="0" borderId="17" xfId="63" applyNumberFormat="1" applyFont="1" applyFill="1" applyBorder="1" applyAlignment="1">
      <alignment horizontal="right" vertical="center" wrapText="1"/>
      <protection/>
    </xf>
    <xf numFmtId="166" fontId="1" fillId="0" borderId="18" xfId="63" applyNumberFormat="1" applyFont="1" applyBorder="1" applyAlignment="1">
      <alignment vertical="center"/>
      <protection/>
    </xf>
    <xf numFmtId="166" fontId="24" fillId="0" borderId="19" xfId="63" applyNumberFormat="1" applyFont="1" applyBorder="1" applyAlignment="1">
      <alignment vertical="center"/>
      <protection/>
    </xf>
    <xf numFmtId="0" fontId="15" fillId="0" borderId="14" xfId="63" applyFont="1" applyFill="1" applyBorder="1" applyAlignment="1">
      <alignment horizontal="left"/>
      <protection/>
    </xf>
    <xf numFmtId="0" fontId="0" fillId="0" borderId="0" xfId="63" applyAlignment="1">
      <alignment wrapText="1"/>
      <protection/>
    </xf>
    <xf numFmtId="0" fontId="0" fillId="0" borderId="0" xfId="63" applyAlignment="1">
      <alignment vertical="top" wrapText="1"/>
      <protection/>
    </xf>
    <xf numFmtId="1" fontId="14" fillId="0" borderId="0" xfId="0" applyNumberFormat="1" applyFont="1" applyAlignment="1">
      <alignment/>
    </xf>
    <xf numFmtId="0" fontId="68" fillId="0" borderId="0" xfId="0" applyFont="1" applyFill="1" applyBorder="1" applyAlignment="1">
      <alignment/>
    </xf>
    <xf numFmtId="0" fontId="68" fillId="35" borderId="0" xfId="0" applyFont="1" applyFill="1" applyBorder="1" applyAlignment="1">
      <alignment/>
    </xf>
    <xf numFmtId="164" fontId="68" fillId="0" borderId="0" xfId="0" applyNumberFormat="1" applyFont="1" applyFill="1" applyBorder="1" applyAlignment="1">
      <alignment/>
    </xf>
    <xf numFmtId="0" fontId="68" fillId="0" borderId="10" xfId="0" applyFont="1" applyFill="1" applyBorder="1" applyAlignment="1">
      <alignment/>
    </xf>
    <xf numFmtId="3" fontId="68" fillId="0" borderId="0" xfId="0" applyNumberFormat="1" applyFont="1" applyFill="1" applyBorder="1" applyAlignment="1">
      <alignment/>
    </xf>
    <xf numFmtId="0" fontId="68" fillId="0" borderId="0" xfId="0" applyFont="1" applyFill="1" applyBorder="1" applyAlignment="1">
      <alignment horizontal="left"/>
    </xf>
    <xf numFmtId="0" fontId="68" fillId="36" borderId="0" xfId="0" applyFont="1" applyFill="1" applyBorder="1" applyAlignment="1">
      <alignment/>
    </xf>
    <xf numFmtId="0" fontId="9" fillId="0" borderId="0" xfId="0" applyFont="1" applyAlignment="1">
      <alignment vertical="top" wrapText="1"/>
    </xf>
    <xf numFmtId="0" fontId="0" fillId="0" borderId="0" xfId="0" applyFont="1" applyBorder="1" applyAlignment="1">
      <alignment horizontal="center" vertical="center"/>
    </xf>
    <xf numFmtId="0" fontId="1" fillId="0" borderId="0" xfId="0" applyFont="1" applyFill="1" applyBorder="1" applyAlignment="1">
      <alignment/>
    </xf>
    <xf numFmtId="0" fontId="0" fillId="0" borderId="10" xfId="0" applyFont="1" applyBorder="1" applyAlignment="1">
      <alignment horizontal="right" vertical="top"/>
    </xf>
    <xf numFmtId="0" fontId="0" fillId="0" borderId="0" xfId="0" applyFont="1" applyBorder="1" applyAlignment="1">
      <alignment horizontal="right" vertical="top"/>
    </xf>
    <xf numFmtId="1" fontId="15" fillId="35" borderId="21" xfId="0" applyNumberFormat="1" applyFont="1" applyFill="1" applyBorder="1" applyAlignment="1">
      <alignment horizontal="center" vertical="center"/>
    </xf>
    <xf numFmtId="1" fontId="15" fillId="35" borderId="22" xfId="0" applyNumberFormat="1" applyFont="1" applyFill="1" applyBorder="1" applyAlignment="1">
      <alignment horizontal="center" vertical="center"/>
    </xf>
    <xf numFmtId="1" fontId="15" fillId="35" borderId="23" xfId="0" applyNumberFormat="1" applyFont="1" applyFill="1" applyBorder="1" applyAlignment="1">
      <alignment horizontal="center" vertical="center"/>
    </xf>
    <xf numFmtId="195" fontId="15" fillId="39" borderId="13" xfId="0" applyNumberFormat="1" applyFont="1" applyFill="1" applyBorder="1" applyAlignment="1">
      <alignment horizontal="right" vertical="center"/>
    </xf>
    <xf numFmtId="195" fontId="15" fillId="39" borderId="14" xfId="0" applyNumberFormat="1" applyFont="1" applyFill="1" applyBorder="1" applyAlignment="1">
      <alignment horizontal="right" vertical="center"/>
    </xf>
    <xf numFmtId="195" fontId="18" fillId="39" borderId="14" xfId="0" applyNumberFormat="1" applyFont="1" applyFill="1" applyBorder="1" applyAlignment="1">
      <alignment horizontal="right" vertical="center"/>
    </xf>
    <xf numFmtId="175" fontId="18" fillId="39" borderId="14" xfId="0" applyNumberFormat="1" applyFont="1" applyFill="1" applyBorder="1" applyAlignment="1">
      <alignment horizontal="right" vertical="center"/>
    </xf>
    <xf numFmtId="175" fontId="18" fillId="39" borderId="17" xfId="0" applyNumberFormat="1" applyFont="1" applyFill="1" applyBorder="1" applyAlignment="1">
      <alignment horizontal="right" vertical="center"/>
    </xf>
    <xf numFmtId="195" fontId="15" fillId="39" borderId="20" xfId="0" applyNumberFormat="1" applyFont="1" applyFill="1" applyBorder="1" applyAlignment="1">
      <alignment horizontal="right" vertical="center"/>
    </xf>
    <xf numFmtId="195" fontId="15" fillId="39" borderId="0" xfId="0" applyNumberFormat="1" applyFont="1" applyFill="1" applyBorder="1" applyAlignment="1">
      <alignment horizontal="right" vertical="center"/>
    </xf>
    <xf numFmtId="195" fontId="18" fillId="39" borderId="0" xfId="0" applyNumberFormat="1" applyFont="1" applyFill="1" applyBorder="1" applyAlignment="1">
      <alignment horizontal="right" vertical="center"/>
    </xf>
    <xf numFmtId="175" fontId="18" fillId="39" borderId="0" xfId="0" applyNumberFormat="1" applyFont="1" applyFill="1" applyBorder="1" applyAlignment="1">
      <alignment horizontal="right" vertical="center"/>
    </xf>
    <xf numFmtId="175" fontId="18" fillId="39" borderId="11" xfId="0" applyNumberFormat="1" applyFont="1" applyFill="1" applyBorder="1" applyAlignment="1">
      <alignment horizontal="right" vertical="center"/>
    </xf>
    <xf numFmtId="195" fontId="15" fillId="39" borderId="18" xfId="0" applyNumberFormat="1" applyFont="1" applyFill="1" applyBorder="1" applyAlignment="1">
      <alignment horizontal="right" vertical="center"/>
    </xf>
    <xf numFmtId="195" fontId="15" fillId="39" borderId="10" xfId="0" applyNumberFormat="1" applyFont="1" applyFill="1" applyBorder="1" applyAlignment="1">
      <alignment horizontal="right" vertical="center"/>
    </xf>
    <xf numFmtId="175" fontId="15" fillId="39" borderId="19" xfId="0" applyNumberFormat="1" applyFont="1" applyFill="1" applyBorder="1" applyAlignment="1">
      <alignment horizontal="right" vertical="center"/>
    </xf>
    <xf numFmtId="0" fontId="15" fillId="39" borderId="19" xfId="0" applyFont="1" applyFill="1" applyBorder="1" applyAlignment="1">
      <alignment horizontal="center" vertical="center"/>
    </xf>
    <xf numFmtId="175" fontId="15" fillId="0" borderId="0" xfId="0" applyNumberFormat="1" applyFont="1" applyAlignment="1">
      <alignment/>
    </xf>
    <xf numFmtId="195" fontId="1" fillId="0" borderId="20"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195" fontId="1" fillId="0" borderId="14" xfId="0" applyNumberFormat="1" applyFont="1" applyFill="1" applyBorder="1" applyAlignment="1">
      <alignment horizontal="right" vertical="center"/>
    </xf>
    <xf numFmtId="195" fontId="1" fillId="0" borderId="11" xfId="0" applyNumberFormat="1" applyFont="1" applyFill="1" applyBorder="1" applyAlignment="1">
      <alignment horizontal="right" vertical="center"/>
    </xf>
    <xf numFmtId="0" fontId="15" fillId="0" borderId="11" xfId="0" applyFont="1" applyFill="1" applyBorder="1" applyAlignment="1">
      <alignment horizontal="center" vertical="center"/>
    </xf>
    <xf numFmtId="195" fontId="1" fillId="39" borderId="20" xfId="0" applyNumberFormat="1" applyFont="1" applyFill="1" applyBorder="1" applyAlignment="1">
      <alignment horizontal="right" vertical="center"/>
    </xf>
    <xf numFmtId="195" fontId="1" fillId="39" borderId="0" xfId="0" applyNumberFormat="1" applyFont="1" applyFill="1" applyBorder="1" applyAlignment="1">
      <alignment horizontal="right" vertical="center"/>
    </xf>
    <xf numFmtId="195" fontId="17" fillId="39" borderId="0" xfId="0" applyNumberFormat="1" applyFont="1" applyFill="1" applyBorder="1" applyAlignment="1">
      <alignment horizontal="right" vertical="center"/>
    </xf>
    <xf numFmtId="195" fontId="1" fillId="39" borderId="11" xfId="0" applyNumberFormat="1" applyFont="1" applyFill="1" applyBorder="1" applyAlignment="1">
      <alignment horizontal="right" vertical="center"/>
    </xf>
    <xf numFmtId="195" fontId="1" fillId="0" borderId="20" xfId="0" applyNumberFormat="1" applyFont="1" applyFill="1" applyBorder="1" applyAlignment="1" quotePrefix="1">
      <alignment horizontal="right" vertical="center"/>
    </xf>
    <xf numFmtId="195" fontId="1" fillId="0" borderId="0" xfId="0" applyNumberFormat="1" applyFont="1" applyFill="1" applyBorder="1" applyAlignment="1" quotePrefix="1">
      <alignment horizontal="right" vertical="center"/>
    </xf>
    <xf numFmtId="175" fontId="17" fillId="39" borderId="0" xfId="0" applyNumberFormat="1" applyFont="1" applyFill="1" applyBorder="1" applyAlignment="1">
      <alignment horizontal="right" vertical="center"/>
    </xf>
    <xf numFmtId="195" fontId="17" fillId="39" borderId="11" xfId="0" applyNumberFormat="1" applyFont="1" applyFill="1" applyBorder="1" applyAlignment="1">
      <alignment horizontal="right" vertical="center"/>
    </xf>
    <xf numFmtId="175" fontId="1" fillId="39" borderId="26" xfId="0" applyNumberFormat="1" applyFont="1" applyFill="1" applyBorder="1" applyAlignment="1">
      <alignment horizontal="right" vertical="center"/>
    </xf>
    <xf numFmtId="195" fontId="1" fillId="39" borderId="20" xfId="0" applyNumberFormat="1" applyFont="1" applyFill="1" applyBorder="1" applyAlignment="1" quotePrefix="1">
      <alignment horizontal="right" vertical="center"/>
    </xf>
    <xf numFmtId="195" fontId="1" fillId="39" borderId="0" xfId="0" applyNumberFormat="1" applyFont="1" applyFill="1" applyBorder="1" applyAlignment="1" quotePrefix="1">
      <alignment horizontal="right" vertical="center"/>
    </xf>
    <xf numFmtId="195" fontId="1" fillId="0" borderId="18" xfId="0" applyNumberFormat="1" applyFont="1" applyFill="1" applyBorder="1" applyAlignment="1">
      <alignment horizontal="right" vertical="center"/>
    </xf>
    <xf numFmtId="195" fontId="1" fillId="0" borderId="10" xfId="0" applyNumberFormat="1" applyFont="1" applyFill="1" applyBorder="1" applyAlignment="1">
      <alignment horizontal="right" vertical="center"/>
    </xf>
    <xf numFmtId="195" fontId="1" fillId="0" borderId="19" xfId="0" applyNumberFormat="1" applyFont="1" applyFill="1" applyBorder="1" applyAlignment="1">
      <alignment horizontal="right" vertical="center"/>
    </xf>
    <xf numFmtId="0" fontId="15" fillId="0" borderId="19" xfId="0" applyFont="1" applyFill="1" applyBorder="1" applyAlignment="1">
      <alignment horizontal="center" vertical="center"/>
    </xf>
    <xf numFmtId="195" fontId="1" fillId="39" borderId="14" xfId="0" applyNumberFormat="1" applyFont="1" applyFill="1" applyBorder="1" applyAlignment="1">
      <alignment horizontal="right" vertical="center"/>
    </xf>
    <xf numFmtId="195" fontId="1" fillId="39" borderId="18" xfId="0" applyNumberFormat="1" applyFont="1" applyFill="1" applyBorder="1" applyAlignment="1">
      <alignment horizontal="right" vertical="center"/>
    </xf>
    <xf numFmtId="195" fontId="1" fillId="39" borderId="10" xfId="0" applyNumberFormat="1" applyFont="1" applyFill="1" applyBorder="1" applyAlignment="1">
      <alignment horizontal="right" vertical="center"/>
    </xf>
    <xf numFmtId="195" fontId="1" fillId="39" borderId="19" xfId="0" applyNumberFormat="1" applyFont="1" applyFill="1" applyBorder="1" applyAlignment="1">
      <alignment horizontal="right" vertical="center"/>
    </xf>
    <xf numFmtId="0" fontId="15" fillId="0" borderId="17" xfId="0" applyFont="1" applyFill="1" applyBorder="1" applyAlignment="1">
      <alignment horizontal="center" vertical="center"/>
    </xf>
    <xf numFmtId="1" fontId="15" fillId="0" borderId="0" xfId="0" applyNumberFormat="1" applyFont="1" applyAlignment="1">
      <alignment vertical="top"/>
    </xf>
    <xf numFmtId="195" fontId="1" fillId="0" borderId="0" xfId="0" applyNumberFormat="1" applyFont="1" applyAlignment="1">
      <alignment/>
    </xf>
    <xf numFmtId="3" fontId="69" fillId="36" borderId="0" xfId="0" applyNumberFormat="1" applyFont="1" applyFill="1" applyBorder="1" applyAlignment="1">
      <alignment horizontal="right" vertical="center"/>
    </xf>
    <xf numFmtId="3" fontId="69" fillId="0" borderId="0" xfId="0" applyNumberFormat="1" applyFont="1" applyFill="1" applyBorder="1" applyAlignment="1">
      <alignment horizontal="right" vertical="center"/>
    </xf>
    <xf numFmtId="3" fontId="69" fillId="35" borderId="0" xfId="0" applyNumberFormat="1" applyFont="1" applyFill="1" applyBorder="1" applyAlignment="1">
      <alignment horizontal="right" vertical="center"/>
    </xf>
    <xf numFmtId="3" fontId="69" fillId="0" borderId="0" xfId="0" applyNumberFormat="1" applyFont="1" applyFill="1" applyBorder="1" applyAlignment="1" quotePrefix="1">
      <alignment horizontal="right" vertical="center"/>
    </xf>
    <xf numFmtId="3" fontId="69" fillId="35" borderId="0" xfId="0" applyNumberFormat="1" applyFont="1" applyFill="1" applyBorder="1" applyAlignment="1" quotePrefix="1">
      <alignment horizontal="right" vertical="center"/>
    </xf>
    <xf numFmtId="3" fontId="69" fillId="0" borderId="0" xfId="0" applyNumberFormat="1" applyFont="1" applyFill="1" applyBorder="1" applyAlignment="1">
      <alignment/>
    </xf>
    <xf numFmtId="164" fontId="69" fillId="36" borderId="0" xfId="0" applyNumberFormat="1" applyFont="1" applyFill="1" applyBorder="1" applyAlignment="1">
      <alignment/>
    </xf>
    <xf numFmtId="164" fontId="69" fillId="0" borderId="0" xfId="0" applyNumberFormat="1" applyFont="1" applyFill="1" applyBorder="1" applyAlignment="1">
      <alignment/>
    </xf>
    <xf numFmtId="164" fontId="69" fillId="35" borderId="0" xfId="0" applyNumberFormat="1" applyFont="1" applyFill="1" applyBorder="1" applyAlignment="1">
      <alignment/>
    </xf>
    <xf numFmtId="0" fontId="69" fillId="0" borderId="0" xfId="0" applyFont="1" applyFill="1" applyBorder="1" applyAlignment="1">
      <alignment/>
    </xf>
    <xf numFmtId="0" fontId="70" fillId="0" borderId="0" xfId="0" applyFont="1" applyFill="1" applyBorder="1" applyAlignment="1" quotePrefix="1">
      <alignment/>
    </xf>
    <xf numFmtId="0" fontId="69" fillId="35" borderId="0" xfId="0" applyFont="1" applyFill="1" applyBorder="1" applyAlignment="1">
      <alignment/>
    </xf>
    <xf numFmtId="0" fontId="69" fillId="35" borderId="0" xfId="0" applyFont="1" applyFill="1" applyBorder="1" applyAlignment="1">
      <alignment horizontal="left"/>
    </xf>
    <xf numFmtId="3" fontId="69" fillId="0" borderId="0" xfId="0" applyNumberFormat="1" applyFont="1" applyFill="1" applyBorder="1" applyAlignment="1">
      <alignment horizontal="right"/>
    </xf>
    <xf numFmtId="0" fontId="2" fillId="0" borderId="0" xfId="0" applyFont="1" applyAlignment="1">
      <alignment/>
    </xf>
    <xf numFmtId="0" fontId="0" fillId="0" borderId="10" xfId="0" applyFont="1" applyBorder="1" applyAlignment="1">
      <alignment horizontal="center" vertical="center"/>
    </xf>
    <xf numFmtId="175" fontId="1" fillId="0" borderId="13" xfId="0" applyNumberFormat="1" applyFont="1" applyFill="1" applyBorder="1" applyAlignment="1">
      <alignment horizontal="right" vertical="center"/>
    </xf>
    <xf numFmtId="175" fontId="1" fillId="0" borderId="17" xfId="0" applyNumberFormat="1" applyFont="1" applyFill="1" applyBorder="1" applyAlignment="1">
      <alignment horizontal="right" vertical="center"/>
    </xf>
    <xf numFmtId="175" fontId="1" fillId="39" borderId="20" xfId="0" applyNumberFormat="1" applyFont="1" applyFill="1" applyBorder="1" applyAlignment="1">
      <alignment horizontal="right" vertical="center"/>
    </xf>
    <xf numFmtId="175" fontId="1" fillId="39" borderId="11" xfId="0" applyNumberFormat="1" applyFont="1" applyFill="1" applyBorder="1" applyAlignment="1">
      <alignment vertical="center"/>
    </xf>
    <xf numFmtId="175" fontId="1" fillId="0" borderId="20" xfId="0" applyNumberFormat="1" applyFont="1" applyFill="1" applyBorder="1" applyAlignment="1">
      <alignment horizontal="right" vertical="center"/>
    </xf>
    <xf numFmtId="175" fontId="1" fillId="0" borderId="11" xfId="0" applyNumberFormat="1" applyFont="1" applyFill="1" applyBorder="1" applyAlignment="1">
      <alignment horizontal="right" vertical="center"/>
    </xf>
    <xf numFmtId="0" fontId="15" fillId="43" borderId="15" xfId="0" applyFont="1" applyFill="1" applyBorder="1" applyAlignment="1">
      <alignment horizontal="center" vertical="center"/>
    </xf>
    <xf numFmtId="175" fontId="1" fillId="43" borderId="20" xfId="0" applyNumberFormat="1" applyFont="1" applyFill="1" applyBorder="1" applyAlignment="1">
      <alignment horizontal="right" vertical="center"/>
    </xf>
    <xf numFmtId="175" fontId="1" fillId="43" borderId="0" xfId="0" applyNumberFormat="1" applyFont="1" applyFill="1" applyBorder="1" applyAlignment="1">
      <alignment horizontal="right" vertical="center"/>
    </xf>
    <xf numFmtId="175" fontId="17" fillId="0" borderId="11" xfId="0" applyNumberFormat="1" applyFont="1" applyFill="1" applyBorder="1" applyAlignment="1">
      <alignment horizontal="right" vertical="center"/>
    </xf>
    <xf numFmtId="175" fontId="1" fillId="39" borderId="11" xfId="0" applyNumberFormat="1" applyFont="1" applyFill="1" applyBorder="1" applyAlignment="1">
      <alignment horizontal="right" vertical="center"/>
    </xf>
    <xf numFmtId="175" fontId="17" fillId="39" borderId="20" xfId="0" applyNumberFormat="1" applyFont="1" applyFill="1" applyBorder="1" applyAlignment="1">
      <alignment horizontal="right" vertical="center"/>
    </xf>
    <xf numFmtId="175" fontId="1" fillId="0" borderId="20" xfId="0" applyNumberFormat="1" applyFont="1" applyFill="1" applyBorder="1" applyAlignment="1" quotePrefix="1">
      <alignment horizontal="right" vertical="center"/>
    </xf>
    <xf numFmtId="175" fontId="1" fillId="43" borderId="11" xfId="0" applyNumberFormat="1" applyFont="1" applyFill="1" applyBorder="1" applyAlignment="1">
      <alignment horizontal="right" vertical="center"/>
    </xf>
    <xf numFmtId="175" fontId="1" fillId="43" borderId="0" xfId="0" applyNumberFormat="1" applyFont="1" applyFill="1" applyBorder="1" applyAlignment="1">
      <alignment vertical="center"/>
    </xf>
    <xf numFmtId="175" fontId="17" fillId="39" borderId="11" xfId="0" applyNumberFormat="1" applyFont="1" applyFill="1" applyBorder="1" applyAlignment="1">
      <alignment horizontal="right" vertical="center"/>
    </xf>
    <xf numFmtId="175" fontId="1" fillId="39" borderId="13" xfId="0" applyNumberFormat="1" applyFont="1" applyFill="1" applyBorder="1" applyAlignment="1" quotePrefix="1">
      <alignment horizontal="right" vertical="center"/>
    </xf>
    <xf numFmtId="175" fontId="1" fillId="39" borderId="17" xfId="0" applyNumberFormat="1" applyFont="1" applyFill="1" applyBorder="1" applyAlignment="1">
      <alignment horizontal="right" vertical="center"/>
    </xf>
    <xf numFmtId="175" fontId="1" fillId="39" borderId="18" xfId="0" applyNumberFormat="1" applyFont="1" applyFill="1" applyBorder="1" applyAlignment="1">
      <alignment horizontal="right" vertical="center"/>
    </xf>
    <xf numFmtId="175" fontId="1" fillId="39" borderId="19" xfId="0" applyNumberFormat="1" applyFont="1" applyFill="1" applyBorder="1" applyAlignment="1">
      <alignment horizontal="right" vertical="center"/>
    </xf>
    <xf numFmtId="175" fontId="0" fillId="0" borderId="0" xfId="0" applyNumberFormat="1" applyAlignment="1">
      <alignment/>
    </xf>
    <xf numFmtId="0" fontId="0" fillId="0" borderId="0" xfId="0" applyFont="1" applyFill="1" applyAlignment="1">
      <alignment/>
    </xf>
    <xf numFmtId="0" fontId="69" fillId="0" borderId="0" xfId="0" applyFont="1" applyFill="1" applyBorder="1" applyAlignment="1" quotePrefix="1">
      <alignment/>
    </xf>
    <xf numFmtId="164" fontId="69" fillId="0" borderId="0" xfId="0" applyNumberFormat="1" applyFont="1" applyFill="1" applyBorder="1" applyAlignment="1">
      <alignment horizontal="right"/>
    </xf>
    <xf numFmtId="165" fontId="69" fillId="0" borderId="0" xfId="0" applyNumberFormat="1" applyFont="1" applyFill="1" applyBorder="1" applyAlignment="1">
      <alignment/>
    </xf>
    <xf numFmtId="3" fontId="69" fillId="35" borderId="0" xfId="0" applyNumberFormat="1" applyFont="1" applyFill="1" applyBorder="1" applyAlignment="1">
      <alignment horizontal="right"/>
    </xf>
    <xf numFmtId="0" fontId="69" fillId="44" borderId="0" xfId="0" applyFont="1" applyFill="1" applyBorder="1" applyAlignment="1">
      <alignment/>
    </xf>
    <xf numFmtId="3" fontId="69" fillId="36" borderId="0" xfId="0" applyNumberFormat="1" applyFont="1" applyFill="1" applyBorder="1" applyAlignment="1">
      <alignment/>
    </xf>
    <xf numFmtId="3" fontId="69" fillId="35" borderId="0" xfId="0" applyNumberFormat="1" applyFont="1" applyFill="1" applyBorder="1" applyAlignment="1">
      <alignment/>
    </xf>
    <xf numFmtId="3" fontId="0" fillId="0" borderId="0" xfId="0" applyNumberFormat="1" applyAlignment="1">
      <alignment wrapText="1"/>
    </xf>
    <xf numFmtId="1" fontId="15" fillId="35" borderId="17" xfId="0" applyNumberFormat="1" applyFont="1" applyFill="1" applyBorder="1" applyAlignment="1">
      <alignment horizontal="center"/>
    </xf>
    <xf numFmtId="0" fontId="1" fillId="42" borderId="13" xfId="0" applyFont="1" applyFill="1" applyBorder="1" applyAlignment="1">
      <alignment/>
    </xf>
    <xf numFmtId="0" fontId="15" fillId="42" borderId="14" xfId="0" applyFont="1" applyFill="1" applyBorder="1" applyAlignment="1">
      <alignment horizontal="center" wrapText="1"/>
    </xf>
    <xf numFmtId="0" fontId="15" fillId="42" borderId="17" xfId="0" applyFont="1" applyFill="1" applyBorder="1" applyAlignment="1">
      <alignment horizontal="center" wrapText="1"/>
    </xf>
    <xf numFmtId="1" fontId="15" fillId="35" borderId="19" xfId="0" applyNumberFormat="1" applyFont="1" applyFill="1" applyBorder="1" applyAlignment="1">
      <alignment horizontal="center" vertical="center"/>
    </xf>
    <xf numFmtId="0" fontId="15" fillId="42" borderId="18" xfId="0" applyFont="1" applyFill="1" applyBorder="1" applyAlignment="1">
      <alignment horizontal="center" vertical="top" wrapText="1"/>
    </xf>
    <xf numFmtId="0" fontId="15" fillId="42" borderId="10" xfId="0" applyFont="1" applyFill="1" applyBorder="1" applyAlignment="1">
      <alignment horizontal="center" vertical="top" wrapText="1"/>
    </xf>
    <xf numFmtId="0" fontId="15" fillId="42" borderId="19" xfId="0" applyFont="1" applyFill="1" applyBorder="1" applyAlignment="1">
      <alignment horizontal="center" vertical="top" wrapText="1"/>
    </xf>
    <xf numFmtId="3" fontId="15" fillId="39" borderId="13" xfId="0" applyNumberFormat="1" applyFont="1" applyFill="1" applyBorder="1" applyAlignment="1">
      <alignment vertical="center"/>
    </xf>
    <xf numFmtId="3" fontId="15" fillId="39" borderId="14" xfId="0" applyNumberFormat="1" applyFont="1" applyFill="1" applyBorder="1" applyAlignment="1">
      <alignment vertical="center"/>
    </xf>
    <xf numFmtId="3" fontId="18" fillId="39" borderId="17" xfId="0" applyNumberFormat="1" applyFont="1" applyFill="1" applyBorder="1" applyAlignment="1">
      <alignment horizontal="right" vertical="center"/>
    </xf>
    <xf numFmtId="3" fontId="18" fillId="39" borderId="14" xfId="0" applyNumberFormat="1" applyFont="1" applyFill="1" applyBorder="1" applyAlignment="1">
      <alignment vertical="center"/>
    </xf>
    <xf numFmtId="3" fontId="15" fillId="39" borderId="20" xfId="0" applyNumberFormat="1" applyFont="1" applyFill="1" applyBorder="1" applyAlignment="1">
      <alignment vertical="center"/>
    </xf>
    <xf numFmtId="3" fontId="15" fillId="39" borderId="0" xfId="0" applyNumberFormat="1" applyFont="1" applyFill="1" applyBorder="1" applyAlignment="1">
      <alignment vertical="center"/>
    </xf>
    <xf numFmtId="3" fontId="18" fillId="39" borderId="11" xfId="0" applyNumberFormat="1" applyFont="1" applyFill="1" applyBorder="1" applyAlignment="1">
      <alignment horizontal="right" vertical="center"/>
    </xf>
    <xf numFmtId="3" fontId="18" fillId="39" borderId="0" xfId="0" applyNumberFormat="1" applyFont="1" applyFill="1" applyBorder="1" applyAlignment="1">
      <alignment vertical="center"/>
    </xf>
    <xf numFmtId="3" fontId="15" fillId="39" borderId="18" xfId="0" applyNumberFormat="1" applyFont="1" applyFill="1" applyBorder="1" applyAlignment="1">
      <alignment vertical="center"/>
    </xf>
    <xf numFmtId="3" fontId="15" fillId="39" borderId="10" xfId="0" applyNumberFormat="1" applyFont="1" applyFill="1" applyBorder="1" applyAlignment="1">
      <alignment vertical="center"/>
    </xf>
    <xf numFmtId="3" fontId="15" fillId="39" borderId="19" xfId="0" applyNumberFormat="1" applyFont="1" applyFill="1" applyBorder="1" applyAlignment="1">
      <alignment horizontal="right" vertical="center"/>
    </xf>
    <xf numFmtId="3" fontId="1" fillId="0" borderId="13" xfId="0" applyNumberFormat="1" applyFont="1" applyFill="1" applyBorder="1" applyAlignment="1">
      <alignment vertical="center"/>
    </xf>
    <xf numFmtId="3" fontId="1" fillId="0" borderId="14" xfId="0" applyNumberFormat="1" applyFont="1" applyFill="1" applyBorder="1" applyAlignment="1">
      <alignment vertical="center"/>
    </xf>
    <xf numFmtId="175" fontId="17" fillId="0" borderId="11" xfId="0" applyNumberFormat="1" applyFont="1" applyFill="1" applyBorder="1" applyAlignment="1">
      <alignment vertical="center"/>
    </xf>
    <xf numFmtId="3" fontId="1" fillId="0" borderId="20" xfId="0" applyNumberFormat="1" applyFont="1" applyBorder="1" applyAlignment="1">
      <alignment vertical="center"/>
    </xf>
    <xf numFmtId="3" fontId="1" fillId="0" borderId="0" xfId="0" applyNumberFormat="1" applyFont="1" applyBorder="1" applyAlignment="1">
      <alignment vertical="center"/>
    </xf>
    <xf numFmtId="3" fontId="17" fillId="0" borderId="0" xfId="0" applyNumberFormat="1" applyFont="1" applyBorder="1" applyAlignment="1">
      <alignment vertical="center"/>
    </xf>
    <xf numFmtId="164" fontId="17" fillId="0" borderId="0" xfId="0" applyNumberFormat="1" applyFont="1" applyFill="1" applyBorder="1" applyAlignment="1">
      <alignment vertical="center"/>
    </xf>
    <xf numFmtId="3" fontId="1" fillId="39" borderId="20" xfId="0" applyNumberFormat="1" applyFont="1" applyFill="1" applyBorder="1" applyAlignment="1">
      <alignment vertical="center"/>
    </xf>
    <xf numFmtId="3" fontId="1" fillId="39" borderId="0" xfId="0" applyNumberFormat="1" applyFont="1" applyFill="1" applyBorder="1" applyAlignment="1">
      <alignment vertical="center"/>
    </xf>
    <xf numFmtId="3" fontId="1" fillId="0" borderId="20" xfId="0" applyNumberFormat="1" applyFont="1" applyFill="1" applyBorder="1" applyAlignment="1">
      <alignment vertical="center"/>
    </xf>
    <xf numFmtId="3" fontId="1" fillId="0" borderId="0" xfId="0" applyNumberFormat="1" applyFont="1" applyFill="1" applyBorder="1" applyAlignment="1">
      <alignment vertical="center"/>
    </xf>
    <xf numFmtId="203" fontId="1" fillId="0" borderId="0" xfId="0" applyNumberFormat="1" applyFont="1" applyFill="1" applyBorder="1" applyAlignment="1">
      <alignment horizontal="right" vertical="center"/>
    </xf>
    <xf numFmtId="203" fontId="1" fillId="0" borderId="11" xfId="0" applyNumberFormat="1" applyFont="1" applyFill="1" applyBorder="1" applyAlignment="1">
      <alignment horizontal="right" vertical="center"/>
    </xf>
    <xf numFmtId="164" fontId="1" fillId="0" borderId="0" xfId="0" applyNumberFormat="1" applyFont="1" applyFill="1" applyBorder="1" applyAlignment="1">
      <alignment vertical="center"/>
    </xf>
    <xf numFmtId="3" fontId="1" fillId="39" borderId="11" xfId="0" applyNumberFormat="1" applyFont="1" applyFill="1" applyBorder="1" applyAlignment="1">
      <alignment horizontal="center" vertical="center"/>
    </xf>
    <xf numFmtId="175" fontId="1" fillId="0" borderId="11" xfId="0" applyNumberFormat="1" applyFont="1" applyFill="1" applyBorder="1" applyAlignment="1">
      <alignment vertical="center"/>
    </xf>
    <xf numFmtId="164" fontId="1" fillId="39" borderId="0" xfId="0" applyNumberFormat="1" applyFont="1" applyFill="1" applyBorder="1" applyAlignment="1">
      <alignment vertical="center"/>
    </xf>
    <xf numFmtId="3" fontId="1" fillId="0" borderId="26" xfId="0" applyNumberFormat="1" applyFont="1" applyFill="1" applyBorder="1" applyAlignment="1">
      <alignment vertical="center"/>
    </xf>
    <xf numFmtId="3" fontId="1" fillId="39" borderId="0" xfId="0" applyNumberFormat="1" applyFont="1" applyFill="1" applyBorder="1" applyAlignment="1" quotePrefix="1">
      <alignment horizontal="right" vertical="center"/>
    </xf>
    <xf numFmtId="175" fontId="1" fillId="39" borderId="0" xfId="0" applyNumberFormat="1" applyFont="1" applyFill="1" applyBorder="1" applyAlignment="1" quotePrefix="1">
      <alignment horizontal="right" vertical="center"/>
    </xf>
    <xf numFmtId="175" fontId="1" fillId="39" borderId="11" xfId="0" applyNumberFormat="1" applyFont="1" applyFill="1" applyBorder="1" applyAlignment="1" quotePrefix="1">
      <alignment horizontal="right" vertical="center"/>
    </xf>
    <xf numFmtId="3" fontId="1" fillId="0" borderId="0" xfId="0" applyNumberFormat="1" applyFont="1" applyFill="1" applyBorder="1" applyAlignment="1" quotePrefix="1">
      <alignment horizontal="right" vertical="center"/>
    </xf>
    <xf numFmtId="3" fontId="1" fillId="0" borderId="11" xfId="0" applyNumberFormat="1" applyFont="1" applyFill="1" applyBorder="1" applyAlignment="1" quotePrefix="1">
      <alignment horizontal="right" vertical="center"/>
    </xf>
    <xf numFmtId="3" fontId="1" fillId="0" borderId="20" xfId="0" applyNumberFormat="1" applyFont="1" applyBorder="1" applyAlignment="1" quotePrefix="1">
      <alignment horizontal="right" vertical="center"/>
    </xf>
    <xf numFmtId="3" fontId="1" fillId="0" borderId="0" xfId="0" applyNumberFormat="1" applyFont="1" applyBorder="1" applyAlignment="1" quotePrefix="1">
      <alignment horizontal="right" vertical="center"/>
    </xf>
    <xf numFmtId="0" fontId="1" fillId="0" borderId="11" xfId="0" applyFont="1" applyFill="1" applyBorder="1" applyAlignment="1">
      <alignment/>
    </xf>
    <xf numFmtId="3" fontId="1" fillId="39" borderId="11" xfId="0" applyNumberFormat="1" applyFont="1" applyFill="1" applyBorder="1" applyAlignment="1">
      <alignment vertical="center"/>
    </xf>
    <xf numFmtId="3" fontId="17" fillId="39" borderId="11" xfId="0" applyNumberFormat="1" applyFont="1" applyFill="1" applyBorder="1" applyAlignment="1">
      <alignment vertical="center"/>
    </xf>
    <xf numFmtId="3" fontId="17" fillId="39" borderId="0" xfId="0" applyNumberFormat="1" applyFont="1" applyFill="1" applyBorder="1" applyAlignment="1">
      <alignment vertical="center"/>
    </xf>
    <xf numFmtId="3" fontId="1" fillId="0" borderId="10" xfId="0" applyNumberFormat="1" applyFont="1" applyFill="1" applyBorder="1" applyAlignment="1">
      <alignment vertical="center"/>
    </xf>
    <xf numFmtId="3" fontId="1" fillId="0" borderId="10" xfId="0" applyNumberFormat="1" applyFont="1" applyFill="1" applyBorder="1" applyAlignment="1">
      <alignment horizontal="right" vertical="center"/>
    </xf>
    <xf numFmtId="175" fontId="1" fillId="0" borderId="19" xfId="0" applyNumberFormat="1" applyFont="1" applyFill="1" applyBorder="1" applyAlignment="1">
      <alignment vertical="center"/>
    </xf>
    <xf numFmtId="3" fontId="1" fillId="0" borderId="18" xfId="0" applyNumberFormat="1" applyFont="1" applyBorder="1" applyAlignment="1">
      <alignment vertical="center"/>
    </xf>
    <xf numFmtId="3" fontId="1" fillId="0" borderId="10" xfId="0" applyNumberFormat="1" applyFont="1" applyBorder="1" applyAlignment="1">
      <alignment vertical="center"/>
    </xf>
    <xf numFmtId="164" fontId="1" fillId="0" borderId="10" xfId="0" applyNumberFormat="1" applyFont="1" applyFill="1" applyBorder="1" applyAlignment="1">
      <alignment vertical="center"/>
    </xf>
    <xf numFmtId="3" fontId="1" fillId="39" borderId="13" xfId="0" applyNumberFormat="1" applyFont="1" applyFill="1" applyBorder="1" applyAlignment="1">
      <alignment vertical="center"/>
    </xf>
    <xf numFmtId="3" fontId="1" fillId="39" borderId="14" xfId="0" applyNumberFormat="1" applyFont="1" applyFill="1" applyBorder="1" applyAlignment="1">
      <alignment vertical="center"/>
    </xf>
    <xf numFmtId="3" fontId="1" fillId="39" borderId="18" xfId="0" applyNumberFormat="1" applyFont="1" applyFill="1" applyBorder="1" applyAlignment="1">
      <alignment vertical="center"/>
    </xf>
    <xf numFmtId="3" fontId="1" fillId="39" borderId="10" xfId="0" applyNumberFormat="1" applyFont="1" applyFill="1" applyBorder="1" applyAlignment="1">
      <alignment vertical="center"/>
    </xf>
    <xf numFmtId="3" fontId="1" fillId="39" borderId="10" xfId="0" applyNumberFormat="1" applyFont="1" applyFill="1" applyBorder="1" applyAlignment="1">
      <alignment horizontal="right" vertical="center"/>
    </xf>
    <xf numFmtId="175" fontId="1" fillId="39" borderId="10" xfId="0" applyNumberFormat="1" applyFont="1" applyFill="1" applyBorder="1" applyAlignment="1">
      <alignment vertical="center"/>
    </xf>
    <xf numFmtId="3" fontId="1" fillId="0" borderId="14" xfId="0" applyNumberFormat="1" applyFont="1" applyFill="1" applyBorder="1" applyAlignment="1" quotePrefix="1">
      <alignment horizontal="right" vertical="center"/>
    </xf>
    <xf numFmtId="3" fontId="1" fillId="0" borderId="17" xfId="0" applyNumberFormat="1" applyFont="1" applyFill="1" applyBorder="1" applyAlignment="1" quotePrefix="1">
      <alignment horizontal="right" vertical="center"/>
    </xf>
    <xf numFmtId="3" fontId="1" fillId="0" borderId="13" xfId="0" applyNumberFormat="1" applyFont="1" applyBorder="1" applyAlignment="1" quotePrefix="1">
      <alignment horizontal="right" vertical="center"/>
    </xf>
    <xf numFmtId="3" fontId="1" fillId="0" borderId="14" xfId="0" applyNumberFormat="1" applyFont="1" applyBorder="1" applyAlignment="1" quotePrefix="1">
      <alignment horizontal="right" vertical="center"/>
    </xf>
    <xf numFmtId="3" fontId="1" fillId="0" borderId="18" xfId="0" applyNumberFormat="1" applyFont="1" applyFill="1" applyBorder="1" applyAlignment="1">
      <alignment vertical="center"/>
    </xf>
    <xf numFmtId="0" fontId="0" fillId="37" borderId="0" xfId="0" applyFont="1" applyFill="1" applyAlignment="1">
      <alignment/>
    </xf>
    <xf numFmtId="175" fontId="15" fillId="37" borderId="20" xfId="0" applyNumberFormat="1" applyFont="1" applyFill="1" applyBorder="1" applyAlignment="1">
      <alignment horizontal="center" vertical="center" wrapText="1"/>
    </xf>
    <xf numFmtId="175" fontId="0" fillId="37" borderId="0" xfId="0" applyNumberFormat="1" applyFill="1" applyAlignment="1">
      <alignment/>
    </xf>
    <xf numFmtId="0" fontId="1" fillId="0" borderId="0" xfId="63" applyFont="1" applyBorder="1">
      <alignment/>
      <protection/>
    </xf>
    <xf numFmtId="0" fontId="1" fillId="0" borderId="0" xfId="63" applyFont="1">
      <alignment/>
      <protection/>
    </xf>
    <xf numFmtId="0" fontId="8" fillId="0" borderId="0" xfId="63" applyFont="1" applyBorder="1" applyAlignment="1" quotePrefix="1">
      <alignment horizontal="right" vertical="top"/>
      <protection/>
    </xf>
    <xf numFmtId="0" fontId="15" fillId="0" borderId="0" xfId="63" applyFont="1" applyAlignment="1">
      <alignment horizontal="center"/>
      <protection/>
    </xf>
    <xf numFmtId="0" fontId="9" fillId="0" borderId="0" xfId="63" applyFont="1">
      <alignment/>
      <protection/>
    </xf>
    <xf numFmtId="9" fontId="1" fillId="0" borderId="0" xfId="63" applyNumberFormat="1" applyFont="1" applyAlignment="1">
      <alignment horizontal="center"/>
      <protection/>
    </xf>
    <xf numFmtId="1" fontId="1" fillId="0" borderId="0" xfId="63" applyNumberFormat="1" applyFont="1" applyAlignment="1">
      <alignment horizontal="center"/>
      <protection/>
    </xf>
    <xf numFmtId="0" fontId="1" fillId="0" borderId="0" xfId="63" applyFont="1" applyBorder="1" applyAlignment="1" applyProtection="1">
      <alignment horizontal="right" vertical="center"/>
      <protection/>
    </xf>
    <xf numFmtId="3" fontId="1" fillId="0" borderId="0" xfId="63" applyNumberFormat="1" applyFont="1" applyFill="1" applyBorder="1" applyAlignment="1">
      <alignment horizontal="right" vertical="center"/>
      <protection/>
    </xf>
    <xf numFmtId="3" fontId="17" fillId="0" borderId="0" xfId="63" applyNumberFormat="1" applyFont="1" applyFill="1" applyBorder="1" applyAlignment="1">
      <alignment horizontal="right" vertical="center"/>
      <protection/>
    </xf>
    <xf numFmtId="3" fontId="1" fillId="0" borderId="10" xfId="63" applyNumberFormat="1" applyFont="1" applyFill="1" applyBorder="1" applyAlignment="1">
      <alignment horizontal="right" vertical="center"/>
      <protection/>
    </xf>
    <xf numFmtId="1" fontId="15" fillId="35" borderId="0" xfId="63" applyNumberFormat="1" applyFont="1" applyFill="1" applyBorder="1" applyAlignment="1">
      <alignment horizontal="center" vertical="center"/>
      <protection/>
    </xf>
    <xf numFmtId="1" fontId="15" fillId="35" borderId="13" xfId="63" applyNumberFormat="1" applyFont="1" applyFill="1" applyBorder="1" applyAlignment="1">
      <alignment horizontal="center"/>
      <protection/>
    </xf>
    <xf numFmtId="1" fontId="15" fillId="35" borderId="14" xfId="63" applyNumberFormat="1" applyFont="1" applyFill="1" applyBorder="1" applyAlignment="1">
      <alignment horizontal="center"/>
      <protection/>
    </xf>
    <xf numFmtId="0" fontId="0" fillId="0" borderId="11" xfId="63" applyFill="1" applyBorder="1">
      <alignment/>
      <protection/>
    </xf>
    <xf numFmtId="1" fontId="15" fillId="35" borderId="12" xfId="63" applyNumberFormat="1" applyFont="1" applyFill="1" applyBorder="1" applyAlignment="1">
      <alignment horizontal="center"/>
      <protection/>
    </xf>
    <xf numFmtId="1" fontId="15" fillId="35" borderId="15" xfId="63" applyNumberFormat="1" applyFont="1" applyFill="1" applyBorder="1" applyAlignment="1">
      <alignment horizontal="center" vertical="center"/>
      <protection/>
    </xf>
    <xf numFmtId="164" fontId="1" fillId="0" borderId="0" xfId="63" applyNumberFormat="1" applyFont="1" applyFill="1" applyBorder="1" applyAlignment="1">
      <alignment horizontal="right" vertical="center"/>
      <protection/>
    </xf>
    <xf numFmtId="164" fontId="1" fillId="0" borderId="10" xfId="63" applyNumberFormat="1" applyFont="1" applyFill="1" applyBorder="1" applyAlignment="1">
      <alignment horizontal="right" vertical="center"/>
      <protection/>
    </xf>
    <xf numFmtId="1" fontId="15" fillId="35" borderId="20" xfId="63" applyNumberFormat="1" applyFont="1" applyFill="1" applyBorder="1" applyAlignment="1">
      <alignment horizontal="center" vertical="center"/>
      <protection/>
    </xf>
    <xf numFmtId="164" fontId="1" fillId="0" borderId="12" xfId="63" applyNumberFormat="1" applyFont="1" applyFill="1" applyBorder="1" applyAlignment="1">
      <alignment horizontal="right" vertical="center"/>
      <protection/>
    </xf>
    <xf numFmtId="164" fontId="1" fillId="0" borderId="15" xfId="63" applyNumberFormat="1" applyFont="1" applyFill="1" applyBorder="1" applyAlignment="1">
      <alignment horizontal="right" vertical="center"/>
      <protection/>
    </xf>
    <xf numFmtId="0" fontId="8" fillId="0" borderId="0" xfId="63" applyFont="1" applyAlignment="1">
      <alignment horizontal="center"/>
      <protection/>
    </xf>
    <xf numFmtId="1" fontId="9" fillId="0" borderId="0" xfId="63" applyNumberFormat="1" applyFont="1" applyAlignment="1">
      <alignment horizontal="center"/>
      <protection/>
    </xf>
    <xf numFmtId="9" fontId="9" fillId="0" borderId="0" xfId="63" applyNumberFormat="1" applyFont="1" applyAlignment="1">
      <alignment horizontal="center"/>
      <protection/>
    </xf>
    <xf numFmtId="0" fontId="16" fillId="35" borderId="17" xfId="63" applyFont="1" applyFill="1" applyBorder="1" applyAlignment="1">
      <alignment horizontal="center" wrapText="1"/>
      <protection/>
    </xf>
    <xf numFmtId="0" fontId="15" fillId="43" borderId="12" xfId="63" applyFont="1" applyFill="1" applyBorder="1" applyAlignment="1">
      <alignment horizontal="center" vertical="center"/>
      <protection/>
    </xf>
    <xf numFmtId="1" fontId="15" fillId="43" borderId="12" xfId="63" applyNumberFormat="1" applyFont="1" applyFill="1" applyBorder="1" applyAlignment="1">
      <alignment horizontal="right"/>
      <protection/>
    </xf>
    <xf numFmtId="0" fontId="15" fillId="43" borderId="15" xfId="63" applyFont="1" applyFill="1" applyBorder="1" applyAlignment="1">
      <alignment horizontal="center" vertical="center"/>
      <protection/>
    </xf>
    <xf numFmtId="1" fontId="15" fillId="43" borderId="15" xfId="63" applyNumberFormat="1" applyFont="1" applyFill="1" applyBorder="1" applyAlignment="1">
      <alignment horizontal="right"/>
      <protection/>
    </xf>
    <xf numFmtId="0" fontId="15" fillId="43" borderId="16" xfId="63" applyFont="1" applyFill="1" applyBorder="1" applyAlignment="1">
      <alignment horizontal="center" vertical="center"/>
      <protection/>
    </xf>
    <xf numFmtId="1" fontId="15" fillId="43" borderId="16" xfId="63" applyNumberFormat="1" applyFont="1" applyFill="1" applyBorder="1" applyAlignment="1">
      <alignment horizontal="right"/>
      <protection/>
    </xf>
    <xf numFmtId="195" fontId="1" fillId="0" borderId="15" xfId="63" applyNumberFormat="1" applyFont="1" applyFill="1" applyBorder="1" applyAlignment="1">
      <alignment horizontal="right" vertical="center"/>
      <protection/>
    </xf>
    <xf numFmtId="195" fontId="1" fillId="43" borderId="15" xfId="63" applyNumberFormat="1" applyFont="1" applyFill="1" applyBorder="1" applyAlignment="1">
      <alignment horizontal="right" vertical="center"/>
      <protection/>
    </xf>
    <xf numFmtId="3" fontId="1" fillId="43" borderId="0" xfId="63" applyNumberFormat="1" applyFont="1" applyFill="1" applyBorder="1" applyAlignment="1">
      <alignment horizontal="right" vertical="center"/>
      <protection/>
    </xf>
    <xf numFmtId="3" fontId="1" fillId="0" borderId="26" xfId="63" applyNumberFormat="1" applyFont="1" applyFill="1" applyBorder="1" applyAlignment="1">
      <alignment horizontal="right" vertical="center"/>
      <protection/>
    </xf>
    <xf numFmtId="3" fontId="1" fillId="43" borderId="26" xfId="63" applyNumberFormat="1" applyFont="1" applyFill="1" applyBorder="1" applyAlignment="1">
      <alignment horizontal="right" vertical="center"/>
      <protection/>
    </xf>
    <xf numFmtId="195" fontId="1" fillId="0" borderId="16" xfId="63" applyNumberFormat="1" applyFont="1" applyFill="1" applyBorder="1" applyAlignment="1">
      <alignment horizontal="right" vertical="center"/>
      <protection/>
    </xf>
    <xf numFmtId="195" fontId="1" fillId="43" borderId="16" xfId="63" applyNumberFormat="1" applyFont="1" applyFill="1" applyBorder="1" applyAlignment="1">
      <alignment horizontal="right" vertical="center"/>
      <protection/>
    </xf>
    <xf numFmtId="3" fontId="1" fillId="43" borderId="10" xfId="63" applyNumberFormat="1" applyFont="1" applyFill="1" applyBorder="1" applyAlignment="1">
      <alignment horizontal="right" vertical="center"/>
      <protection/>
    </xf>
    <xf numFmtId="195" fontId="1" fillId="0" borderId="12" xfId="63" applyNumberFormat="1" applyFont="1" applyBorder="1" applyAlignment="1">
      <alignment horizontal="right" vertical="center"/>
      <protection/>
    </xf>
    <xf numFmtId="195" fontId="1" fillId="0" borderId="15" xfId="63" applyNumberFormat="1" applyFont="1" applyBorder="1" applyAlignment="1">
      <alignment horizontal="right" vertical="center"/>
      <protection/>
    </xf>
    <xf numFmtId="164" fontId="15" fillId="43" borderId="12" xfId="63" applyNumberFormat="1" applyFont="1" applyFill="1" applyBorder="1" applyAlignment="1">
      <alignment horizontal="right"/>
      <protection/>
    </xf>
    <xf numFmtId="164" fontId="15" fillId="43" borderId="15" xfId="63" applyNumberFormat="1" applyFont="1" applyFill="1" applyBorder="1" applyAlignment="1">
      <alignment horizontal="right"/>
      <protection/>
    </xf>
    <xf numFmtId="164" fontId="15" fillId="43" borderId="16" xfId="63" applyNumberFormat="1" applyFont="1" applyFill="1" applyBorder="1" applyAlignment="1">
      <alignment horizontal="right"/>
      <protection/>
    </xf>
    <xf numFmtId="164" fontId="1" fillId="43" borderId="0" xfId="63" applyNumberFormat="1" applyFont="1" applyFill="1" applyBorder="1" applyAlignment="1">
      <alignment horizontal="right" vertical="center"/>
      <protection/>
    </xf>
    <xf numFmtId="164" fontId="17" fillId="43" borderId="0" xfId="63" applyNumberFormat="1" applyFont="1" applyFill="1" applyBorder="1" applyAlignment="1">
      <alignment horizontal="right" vertical="center"/>
      <protection/>
    </xf>
    <xf numFmtId="164" fontId="1" fillId="43" borderId="0" xfId="63" applyNumberFormat="1" applyFont="1" applyFill="1" applyBorder="1" applyAlignment="1">
      <alignment horizontal="right" vertical="center" wrapText="1"/>
      <protection/>
    </xf>
    <xf numFmtId="164" fontId="1" fillId="43" borderId="11" xfId="63" applyNumberFormat="1" applyFont="1" applyFill="1" applyBorder="1" applyAlignment="1">
      <alignment horizontal="right" vertical="center"/>
      <protection/>
    </xf>
    <xf numFmtId="164" fontId="1" fillId="0" borderId="11" xfId="63" applyNumberFormat="1" applyFont="1" applyFill="1" applyBorder="1" applyAlignment="1">
      <alignment horizontal="right" vertical="center"/>
      <protection/>
    </xf>
    <xf numFmtId="164" fontId="1" fillId="43" borderId="19" xfId="63" applyNumberFormat="1" applyFont="1" applyFill="1" applyBorder="1" applyAlignment="1">
      <alignment horizontal="right" vertical="center"/>
      <protection/>
    </xf>
    <xf numFmtId="164" fontId="1" fillId="0" borderId="17" xfId="63" applyNumberFormat="1" applyFont="1" applyBorder="1" applyAlignment="1">
      <alignment horizontal="right" vertical="center"/>
      <protection/>
    </xf>
    <xf numFmtId="164" fontId="1" fillId="0" borderId="11" xfId="63" applyNumberFormat="1" applyFont="1" applyBorder="1" applyAlignment="1">
      <alignment horizontal="right" vertical="center"/>
      <protection/>
    </xf>
    <xf numFmtId="164" fontId="1" fillId="43" borderId="15" xfId="63" applyNumberFormat="1" applyFont="1" applyFill="1" applyBorder="1" applyAlignment="1">
      <alignment horizontal="right" vertical="center"/>
      <protection/>
    </xf>
    <xf numFmtId="3" fontId="18" fillId="43" borderId="14" xfId="63" applyNumberFormat="1" applyFont="1" applyFill="1" applyBorder="1" applyAlignment="1">
      <alignment horizontal="right"/>
      <protection/>
    </xf>
    <xf numFmtId="3" fontId="15" fillId="43" borderId="14" xfId="63" applyNumberFormat="1" applyFont="1" applyFill="1" applyBorder="1" applyAlignment="1">
      <alignment horizontal="right"/>
      <protection/>
    </xf>
    <xf numFmtId="3" fontId="18" fillId="43" borderId="0" xfId="63" applyNumberFormat="1" applyFont="1" applyFill="1" applyBorder="1" applyAlignment="1">
      <alignment horizontal="right"/>
      <protection/>
    </xf>
    <xf numFmtId="3" fontId="15" fillId="43" borderId="0" xfId="63" applyNumberFormat="1" applyFont="1" applyFill="1" applyBorder="1" applyAlignment="1">
      <alignment horizontal="right"/>
      <protection/>
    </xf>
    <xf numFmtId="3" fontId="18" fillId="43" borderId="10" xfId="63" applyNumberFormat="1" applyFont="1" applyFill="1" applyBorder="1" applyAlignment="1">
      <alignment horizontal="right"/>
      <protection/>
    </xf>
    <xf numFmtId="3" fontId="15" fillId="43" borderId="10" xfId="63" applyNumberFormat="1" applyFont="1" applyFill="1" applyBorder="1" applyAlignment="1">
      <alignment horizontal="right"/>
      <protection/>
    </xf>
    <xf numFmtId="3" fontId="1" fillId="0" borderId="11" xfId="63" applyNumberFormat="1" applyFont="1" applyFill="1" applyBorder="1" applyAlignment="1">
      <alignment horizontal="right" vertical="center"/>
      <protection/>
    </xf>
    <xf numFmtId="3" fontId="1" fillId="43" borderId="11" xfId="63" applyNumberFormat="1" applyFont="1" applyFill="1" applyBorder="1" applyAlignment="1">
      <alignment horizontal="right" vertical="center"/>
      <protection/>
    </xf>
    <xf numFmtId="3" fontId="17" fillId="43" borderId="11" xfId="63" applyNumberFormat="1" applyFont="1" applyFill="1" applyBorder="1" applyAlignment="1">
      <alignment horizontal="right" vertical="center"/>
      <protection/>
    </xf>
    <xf numFmtId="3" fontId="1" fillId="43" borderId="0" xfId="63" applyNumberFormat="1" applyFont="1" applyFill="1" applyBorder="1" applyAlignment="1">
      <alignment horizontal="right" vertical="center" wrapText="1"/>
      <protection/>
    </xf>
    <xf numFmtId="3" fontId="1" fillId="43" borderId="11" xfId="63" applyNumberFormat="1" applyFont="1" applyFill="1" applyBorder="1" applyAlignment="1">
      <alignment horizontal="right" vertical="center" wrapText="1"/>
      <protection/>
    </xf>
    <xf numFmtId="3" fontId="1" fillId="0" borderId="19" xfId="63" applyNumberFormat="1" applyFont="1" applyFill="1" applyBorder="1" applyAlignment="1">
      <alignment horizontal="right" vertical="center"/>
      <protection/>
    </xf>
    <xf numFmtId="3" fontId="1" fillId="43" borderId="19" xfId="63" applyNumberFormat="1" applyFont="1" applyFill="1" applyBorder="1" applyAlignment="1">
      <alignment horizontal="right" vertical="center"/>
      <protection/>
    </xf>
    <xf numFmtId="3" fontId="1" fillId="0" borderId="14" xfId="63" applyNumberFormat="1" applyFont="1" applyBorder="1" applyAlignment="1">
      <alignment horizontal="right" vertical="center"/>
      <protection/>
    </xf>
    <xf numFmtId="3" fontId="1" fillId="0" borderId="17" xfId="63" applyNumberFormat="1" applyFont="1" applyBorder="1" applyAlignment="1">
      <alignment horizontal="right" vertical="center"/>
      <protection/>
    </xf>
    <xf numFmtId="3" fontId="1" fillId="0" borderId="0" xfId="63" applyNumberFormat="1" applyFont="1" applyBorder="1" applyAlignment="1">
      <alignment horizontal="right" vertical="center"/>
      <protection/>
    </xf>
    <xf numFmtId="3" fontId="1" fillId="0" borderId="11" xfId="63" applyNumberFormat="1" applyFont="1" applyBorder="1" applyAlignment="1">
      <alignment horizontal="right" vertical="center"/>
      <protection/>
    </xf>
    <xf numFmtId="3" fontId="17" fillId="43" borderId="0" xfId="63" applyNumberFormat="1" applyFont="1" applyFill="1" applyBorder="1" applyAlignment="1">
      <alignment horizontal="right" vertical="center"/>
      <protection/>
    </xf>
    <xf numFmtId="3" fontId="1" fillId="0" borderId="25" xfId="63" applyNumberFormat="1" applyFont="1" applyFill="1" applyBorder="1" applyAlignment="1">
      <alignment horizontal="right" vertical="center"/>
      <protection/>
    </xf>
    <xf numFmtId="0" fontId="15" fillId="35" borderId="0" xfId="63" applyFont="1" applyFill="1" applyBorder="1" applyAlignment="1">
      <alignment horizontal="center" vertical="top"/>
      <protection/>
    </xf>
    <xf numFmtId="0" fontId="15" fillId="35" borderId="19" xfId="63" applyFont="1" applyFill="1" applyBorder="1" applyAlignment="1">
      <alignment horizontal="center" vertical="top"/>
      <protection/>
    </xf>
    <xf numFmtId="0" fontId="15" fillId="35" borderId="10" xfId="63" applyFont="1" applyFill="1" applyBorder="1" applyAlignment="1">
      <alignment horizontal="center" vertical="top"/>
      <protection/>
    </xf>
    <xf numFmtId="0" fontId="9" fillId="0" borderId="0" xfId="62" applyFont="1" applyAlignment="1">
      <alignment vertical="top" wrapText="1"/>
      <protection/>
    </xf>
    <xf numFmtId="0" fontId="0" fillId="0" borderId="0" xfId="62">
      <alignment/>
      <protection/>
    </xf>
    <xf numFmtId="0" fontId="1" fillId="0" borderId="0" xfId="62" applyFont="1" applyBorder="1">
      <alignment/>
      <protection/>
    </xf>
    <xf numFmtId="0" fontId="1" fillId="0" borderId="0" xfId="62" applyFont="1">
      <alignment/>
      <protection/>
    </xf>
    <xf numFmtId="0" fontId="0" fillId="0" borderId="0" xfId="62" applyFill="1" applyBorder="1">
      <alignment/>
      <protection/>
    </xf>
    <xf numFmtId="1" fontId="15" fillId="0" borderId="0" xfId="62" applyNumberFormat="1" applyFont="1" applyFill="1" applyBorder="1" applyAlignment="1">
      <alignment horizontal="center" vertical="center"/>
      <protection/>
    </xf>
    <xf numFmtId="0" fontId="15" fillId="0" borderId="12" xfId="62" applyFont="1" applyFill="1" applyBorder="1" applyAlignment="1">
      <alignment horizontal="center" vertical="center"/>
      <protection/>
    </xf>
    <xf numFmtId="0" fontId="15" fillId="0" borderId="15" xfId="62" applyFont="1" applyFill="1" applyBorder="1" applyAlignment="1">
      <alignment horizontal="center" vertical="center"/>
      <protection/>
    </xf>
    <xf numFmtId="0" fontId="15" fillId="0" borderId="16" xfId="62" applyFont="1" applyFill="1" applyBorder="1" applyAlignment="1">
      <alignment horizontal="center" vertical="center"/>
      <protection/>
    </xf>
    <xf numFmtId="0" fontId="8" fillId="0" borderId="0" xfId="62" applyFont="1" applyBorder="1" applyAlignment="1" quotePrefix="1">
      <alignment horizontal="right" vertical="top"/>
      <protection/>
    </xf>
    <xf numFmtId="0" fontId="1" fillId="0" borderId="0" xfId="62" applyFont="1" applyFill="1" applyBorder="1">
      <alignment/>
      <protection/>
    </xf>
    <xf numFmtId="0" fontId="9" fillId="0" borderId="0" xfId="62" applyFont="1">
      <alignment/>
      <protection/>
    </xf>
    <xf numFmtId="0" fontId="1" fillId="0" borderId="10" xfId="62" applyFont="1" applyBorder="1" applyAlignment="1">
      <alignment horizontal="right" vertical="center"/>
      <protection/>
    </xf>
    <xf numFmtId="0" fontId="15" fillId="39" borderId="15" xfId="62" applyFont="1" applyFill="1" applyBorder="1" applyAlignment="1">
      <alignment horizontal="center" vertical="center"/>
      <protection/>
    </xf>
    <xf numFmtId="0" fontId="15" fillId="39" borderId="16" xfId="62" applyFont="1" applyFill="1" applyBorder="1" applyAlignment="1">
      <alignment horizontal="center" vertical="center"/>
      <protection/>
    </xf>
    <xf numFmtId="0" fontId="15" fillId="39" borderId="12" xfId="62" applyFont="1" applyFill="1" applyBorder="1" applyAlignment="1">
      <alignment horizontal="center" vertical="center"/>
      <protection/>
    </xf>
    <xf numFmtId="0" fontId="1" fillId="0" borderId="0" xfId="62" applyFont="1" applyBorder="1" applyAlignment="1">
      <alignment horizontal="right" vertical="center"/>
      <protection/>
    </xf>
    <xf numFmtId="0" fontId="9" fillId="0" borderId="0" xfId="62" applyFont="1" applyBorder="1" applyAlignment="1">
      <alignment vertical="top" wrapText="1"/>
      <protection/>
    </xf>
    <xf numFmtId="165" fontId="17" fillId="0" borderId="0" xfId="62" applyNumberFormat="1" applyFont="1" applyFill="1" applyBorder="1" applyAlignment="1">
      <alignment horizontal="right" vertical="center"/>
      <protection/>
    </xf>
    <xf numFmtId="1" fontId="15" fillId="35" borderId="0" xfId="62" applyNumberFormat="1" applyFont="1" applyFill="1" applyBorder="1" applyAlignment="1">
      <alignment horizontal="center" vertical="center"/>
      <protection/>
    </xf>
    <xf numFmtId="1" fontId="15" fillId="35" borderId="13" xfId="62" applyNumberFormat="1" applyFont="1" applyFill="1" applyBorder="1" applyAlignment="1">
      <alignment horizontal="center"/>
      <protection/>
    </xf>
    <xf numFmtId="1" fontId="15" fillId="35" borderId="14" xfId="62" applyNumberFormat="1" applyFont="1" applyFill="1" applyBorder="1" applyAlignment="1">
      <alignment horizontal="center"/>
      <protection/>
    </xf>
    <xf numFmtId="165" fontId="18" fillId="39" borderId="14" xfId="62" applyNumberFormat="1" applyFont="1" applyFill="1" applyBorder="1" applyAlignment="1">
      <alignment horizontal="right" vertical="center"/>
      <protection/>
    </xf>
    <xf numFmtId="165" fontId="18" fillId="39" borderId="0" xfId="62" applyNumberFormat="1" applyFont="1" applyFill="1" applyBorder="1" applyAlignment="1" quotePrefix="1">
      <alignment horizontal="right" vertical="center"/>
      <protection/>
    </xf>
    <xf numFmtId="0" fontId="0" fillId="0" borderId="11" xfId="62" applyFill="1" applyBorder="1">
      <alignment/>
      <protection/>
    </xf>
    <xf numFmtId="0" fontId="0" fillId="0" borderId="19" xfId="62" applyFill="1" applyBorder="1">
      <alignment/>
      <protection/>
    </xf>
    <xf numFmtId="0" fontId="16" fillId="35" borderId="12" xfId="62" applyFont="1" applyFill="1" applyBorder="1" applyAlignment="1">
      <alignment horizontal="center" wrapText="1"/>
      <protection/>
    </xf>
    <xf numFmtId="164" fontId="1" fillId="0" borderId="0" xfId="62" applyNumberFormat="1" applyFont="1" applyFill="1" applyBorder="1" applyAlignment="1">
      <alignment horizontal="right" vertical="center"/>
      <protection/>
    </xf>
    <xf numFmtId="1" fontId="15" fillId="35" borderId="20" xfId="62" applyNumberFormat="1" applyFont="1" applyFill="1" applyBorder="1" applyAlignment="1">
      <alignment horizontal="center" vertical="center"/>
      <protection/>
    </xf>
    <xf numFmtId="0" fontId="9" fillId="0" borderId="0" xfId="62" applyFont="1" applyBorder="1">
      <alignment/>
      <protection/>
    </xf>
    <xf numFmtId="164" fontId="1" fillId="0" borderId="12" xfId="62" applyNumberFormat="1" applyFont="1" applyFill="1" applyBorder="1" applyAlignment="1">
      <alignment horizontal="right" vertical="center"/>
      <protection/>
    </xf>
    <xf numFmtId="164" fontId="1" fillId="39" borderId="15" xfId="62" applyNumberFormat="1" applyFont="1" applyFill="1" applyBorder="1" applyAlignment="1">
      <alignment horizontal="right" vertical="center"/>
      <protection/>
    </xf>
    <xf numFmtId="164" fontId="1" fillId="0" borderId="15" xfId="62" applyNumberFormat="1" applyFont="1" applyFill="1" applyBorder="1" applyAlignment="1">
      <alignment horizontal="right" vertical="center"/>
      <protection/>
    </xf>
    <xf numFmtId="164" fontId="1" fillId="0" borderId="16" xfId="62" applyNumberFormat="1" applyFont="1" applyFill="1" applyBorder="1" applyAlignment="1">
      <alignment horizontal="right" vertical="center"/>
      <protection/>
    </xf>
    <xf numFmtId="164" fontId="1" fillId="39" borderId="16" xfId="62" applyNumberFormat="1" applyFont="1" applyFill="1" applyBorder="1" applyAlignment="1">
      <alignment horizontal="right" vertical="center"/>
      <protection/>
    </xf>
    <xf numFmtId="0" fontId="15" fillId="0" borderId="0" xfId="62" applyFont="1" applyBorder="1">
      <alignment/>
      <protection/>
    </xf>
    <xf numFmtId="0" fontId="15" fillId="35" borderId="16" xfId="62" applyFont="1" applyFill="1" applyBorder="1" applyAlignment="1">
      <alignment horizontal="center" vertical="center"/>
      <protection/>
    </xf>
    <xf numFmtId="165" fontId="15" fillId="39" borderId="13" xfId="62" applyNumberFormat="1" applyFont="1" applyFill="1" applyBorder="1" applyAlignment="1" quotePrefix="1">
      <alignment horizontal="right" vertical="center"/>
      <protection/>
    </xf>
    <xf numFmtId="165" fontId="15" fillId="39" borderId="14" xfId="62" applyNumberFormat="1" applyFont="1" applyFill="1" applyBorder="1" applyAlignment="1" quotePrefix="1">
      <alignment horizontal="right" vertical="center"/>
      <protection/>
    </xf>
    <xf numFmtId="165" fontId="15" fillId="39" borderId="14" xfId="62" applyNumberFormat="1" applyFont="1" applyFill="1" applyBorder="1" applyAlignment="1">
      <alignment horizontal="right" vertical="center"/>
      <protection/>
    </xf>
    <xf numFmtId="177" fontId="15" fillId="39" borderId="14" xfId="62" applyNumberFormat="1" applyFont="1" applyFill="1" applyBorder="1" applyAlignment="1">
      <alignment horizontal="right" vertical="center"/>
      <protection/>
    </xf>
    <xf numFmtId="165" fontId="15" fillId="39" borderId="20" xfId="62" applyNumberFormat="1" applyFont="1" applyFill="1" applyBorder="1" applyAlignment="1" quotePrefix="1">
      <alignment horizontal="right" vertical="center"/>
      <protection/>
    </xf>
    <xf numFmtId="165" fontId="15" fillId="39" borderId="0" xfId="62" applyNumberFormat="1" applyFont="1" applyFill="1" applyBorder="1" applyAlignment="1" quotePrefix="1">
      <alignment horizontal="right" vertical="center"/>
      <protection/>
    </xf>
    <xf numFmtId="177" fontId="15" fillId="39" borderId="0" xfId="62" applyNumberFormat="1" applyFont="1" applyFill="1" applyBorder="1" applyAlignment="1" quotePrefix="1">
      <alignment horizontal="right" vertical="center"/>
      <protection/>
    </xf>
    <xf numFmtId="165" fontId="15" fillId="39" borderId="18" xfId="62" applyNumberFormat="1" applyFont="1" applyFill="1" applyBorder="1" applyAlignment="1" quotePrefix="1">
      <alignment horizontal="right" vertical="center"/>
      <protection/>
    </xf>
    <xf numFmtId="165" fontId="15" fillId="39" borderId="10" xfId="62" applyNumberFormat="1" applyFont="1" applyFill="1" applyBorder="1" applyAlignment="1" quotePrefix="1">
      <alignment horizontal="right" vertical="center"/>
      <protection/>
    </xf>
    <xf numFmtId="165" fontId="1" fillId="0" borderId="13" xfId="62" applyNumberFormat="1" applyFont="1" applyFill="1" applyBorder="1" applyAlignment="1" quotePrefix="1">
      <alignment horizontal="right" vertical="center"/>
      <protection/>
    </xf>
    <xf numFmtId="165" fontId="1" fillId="0" borderId="14" xfId="62" applyNumberFormat="1" applyFont="1" applyFill="1" applyBorder="1" applyAlignment="1" quotePrefix="1">
      <alignment horizontal="right" vertical="center"/>
      <protection/>
    </xf>
    <xf numFmtId="165" fontId="1" fillId="0" borderId="14" xfId="62" applyNumberFormat="1" applyFont="1" applyFill="1" applyBorder="1" applyAlignment="1">
      <alignment horizontal="right" vertical="center"/>
      <protection/>
    </xf>
    <xf numFmtId="165" fontId="1" fillId="39" borderId="20" xfId="62" applyNumberFormat="1" applyFont="1" applyFill="1" applyBorder="1" applyAlignment="1">
      <alignment horizontal="right" vertical="center"/>
      <protection/>
    </xf>
    <xf numFmtId="165" fontId="1" fillId="39" borderId="0" xfId="62" applyNumberFormat="1" applyFont="1" applyFill="1" applyBorder="1" applyAlignment="1">
      <alignment horizontal="right" vertical="center"/>
      <protection/>
    </xf>
    <xf numFmtId="165" fontId="1" fillId="39" borderId="26" xfId="62" applyNumberFormat="1" applyFont="1" applyFill="1" applyBorder="1" applyAlignment="1">
      <alignment horizontal="right" vertical="center"/>
      <protection/>
    </xf>
    <xf numFmtId="165" fontId="1" fillId="0" borderId="20" xfId="62" applyNumberFormat="1" applyFont="1" applyFill="1" applyBorder="1" applyAlignment="1" quotePrefix="1">
      <alignment horizontal="right" vertical="center"/>
      <protection/>
    </xf>
    <xf numFmtId="165" fontId="1" fillId="0" borderId="0" xfId="62" applyNumberFormat="1" applyFont="1" applyFill="1" applyBorder="1" applyAlignment="1" quotePrefix="1">
      <alignment horizontal="right" vertical="center"/>
      <protection/>
    </xf>
    <xf numFmtId="165" fontId="1" fillId="0" borderId="0" xfId="62" applyNumberFormat="1" applyFont="1" applyFill="1" applyBorder="1" applyAlignment="1">
      <alignment horizontal="right" vertical="center"/>
      <protection/>
    </xf>
    <xf numFmtId="165" fontId="1" fillId="0" borderId="0" xfId="62" applyNumberFormat="1" applyFont="1" applyBorder="1" applyAlignment="1">
      <alignment vertical="top" wrapText="1"/>
      <protection/>
    </xf>
    <xf numFmtId="165" fontId="1" fillId="0" borderId="20" xfId="62" applyNumberFormat="1" applyFont="1" applyFill="1" applyBorder="1" applyAlignment="1">
      <alignment horizontal="right" vertical="center"/>
      <protection/>
    </xf>
    <xf numFmtId="165" fontId="1" fillId="0" borderId="26" xfId="62" applyNumberFormat="1" applyFont="1" applyFill="1" applyBorder="1" applyAlignment="1">
      <alignment horizontal="right" vertical="center"/>
      <protection/>
    </xf>
    <xf numFmtId="165" fontId="1" fillId="0" borderId="25" xfId="62" applyNumberFormat="1" applyFont="1" applyFill="1" applyBorder="1" applyAlignment="1">
      <alignment horizontal="right" vertical="center"/>
      <protection/>
    </xf>
    <xf numFmtId="165" fontId="1" fillId="0" borderId="11" xfId="62" applyNumberFormat="1" applyFont="1" applyFill="1" applyBorder="1" applyAlignment="1">
      <alignment horizontal="right" vertical="center"/>
      <protection/>
    </xf>
    <xf numFmtId="165" fontId="17" fillId="39" borderId="0" xfId="62" applyNumberFormat="1" applyFont="1" applyFill="1" applyBorder="1" applyAlignment="1">
      <alignment horizontal="right" vertical="center"/>
      <protection/>
    </xf>
    <xf numFmtId="165" fontId="1" fillId="39" borderId="20" xfId="62" applyNumberFormat="1" applyFont="1" applyFill="1" applyBorder="1" applyAlignment="1" quotePrefix="1">
      <alignment horizontal="right" vertical="center"/>
      <protection/>
    </xf>
    <xf numFmtId="165" fontId="1" fillId="39" borderId="0" xfId="62" applyNumberFormat="1" applyFont="1" applyFill="1" applyBorder="1" applyAlignment="1" quotePrefix="1">
      <alignment horizontal="right" vertical="center"/>
      <protection/>
    </xf>
    <xf numFmtId="165" fontId="1" fillId="0" borderId="18" xfId="62" applyNumberFormat="1" applyFont="1" applyFill="1" applyBorder="1" applyAlignment="1">
      <alignment horizontal="right" vertical="center"/>
      <protection/>
    </xf>
    <xf numFmtId="165" fontId="1" fillId="0" borderId="10" xfId="62" applyNumberFormat="1" applyFont="1" applyFill="1" applyBorder="1" applyAlignment="1">
      <alignment horizontal="right" vertical="center"/>
      <protection/>
    </xf>
    <xf numFmtId="165" fontId="1" fillId="0" borderId="28" xfId="62" applyNumberFormat="1" applyFont="1" applyFill="1" applyBorder="1" applyAlignment="1">
      <alignment horizontal="right" vertical="center"/>
      <protection/>
    </xf>
    <xf numFmtId="165" fontId="1" fillId="39" borderId="13" xfId="62" applyNumberFormat="1" applyFont="1" applyFill="1" applyBorder="1" applyAlignment="1">
      <alignment horizontal="right" vertical="center"/>
      <protection/>
    </xf>
    <xf numFmtId="165" fontId="1" fillId="39" borderId="14" xfId="62" applyNumberFormat="1" applyFont="1" applyFill="1" applyBorder="1" applyAlignment="1">
      <alignment horizontal="right" vertical="center"/>
      <protection/>
    </xf>
    <xf numFmtId="165" fontId="1" fillId="39" borderId="18" xfId="62" applyNumberFormat="1" applyFont="1" applyFill="1" applyBorder="1" applyAlignment="1">
      <alignment horizontal="right" vertical="center"/>
      <protection/>
    </xf>
    <xf numFmtId="165" fontId="1" fillId="39" borderId="10" xfId="62" applyNumberFormat="1" applyFont="1" applyFill="1" applyBorder="1" applyAlignment="1">
      <alignment horizontal="right" vertical="center"/>
      <protection/>
    </xf>
    <xf numFmtId="165" fontId="1" fillId="0" borderId="13" xfId="62" applyNumberFormat="1" applyFont="1" applyFill="1" applyBorder="1" applyAlignment="1">
      <alignment horizontal="right" vertical="center"/>
      <protection/>
    </xf>
    <xf numFmtId="164" fontId="17" fillId="43" borderId="15" xfId="62" applyNumberFormat="1" applyFont="1" applyFill="1" applyBorder="1" applyAlignment="1">
      <alignment horizontal="right" vertical="center"/>
      <protection/>
    </xf>
    <xf numFmtId="164" fontId="18" fillId="39" borderId="12" xfId="62" applyNumberFormat="1" applyFont="1" applyFill="1" applyBorder="1" applyAlignment="1">
      <alignment horizontal="right" vertical="center"/>
      <protection/>
    </xf>
    <xf numFmtId="164" fontId="18" fillId="39" borderId="15" xfId="62" applyNumberFormat="1" applyFont="1" applyFill="1" applyBorder="1" applyAlignment="1" quotePrefix="1">
      <alignment horizontal="right" vertical="center"/>
      <protection/>
    </xf>
    <xf numFmtId="164" fontId="15" fillId="39" borderId="15" xfId="62" applyNumberFormat="1" applyFont="1" applyFill="1" applyBorder="1" applyAlignment="1" quotePrefix="1">
      <alignment horizontal="right" vertical="center"/>
      <protection/>
    </xf>
    <xf numFmtId="164" fontId="1" fillId="0" borderId="15" xfId="62" applyNumberFormat="1" applyFont="1" applyBorder="1" applyAlignment="1">
      <alignment vertical="top" wrapText="1"/>
      <protection/>
    </xf>
    <xf numFmtId="165" fontId="1" fillId="0" borderId="0" xfId="62" applyNumberFormat="1" applyFont="1">
      <alignment/>
      <protection/>
    </xf>
    <xf numFmtId="0" fontId="1" fillId="0" borderId="0" xfId="62" applyFont="1" applyAlignment="1">
      <alignment horizontal="center"/>
      <protection/>
    </xf>
    <xf numFmtId="0" fontId="0" fillId="0" borderId="0" xfId="62" applyAlignment="1">
      <alignment vertical="top"/>
      <protection/>
    </xf>
    <xf numFmtId="1" fontId="15" fillId="35" borderId="18" xfId="62" applyNumberFormat="1" applyFont="1" applyFill="1" applyBorder="1" applyAlignment="1">
      <alignment horizontal="center" vertical="center"/>
      <protection/>
    </xf>
    <xf numFmtId="1" fontId="15" fillId="35" borderId="10" xfId="62" applyNumberFormat="1" applyFont="1" applyFill="1" applyBorder="1" applyAlignment="1">
      <alignment horizontal="center" vertical="center"/>
      <protection/>
    </xf>
    <xf numFmtId="0" fontId="15" fillId="39" borderId="17" xfId="62" applyFont="1" applyFill="1" applyBorder="1" applyAlignment="1">
      <alignment horizontal="center" vertical="center"/>
      <protection/>
    </xf>
    <xf numFmtId="0" fontId="15" fillId="39" borderId="11" xfId="62" applyFont="1" applyFill="1" applyBorder="1" applyAlignment="1">
      <alignment horizontal="center" vertical="center"/>
      <protection/>
    </xf>
    <xf numFmtId="0" fontId="15" fillId="39" borderId="19" xfId="62" applyFont="1" applyFill="1" applyBorder="1" applyAlignment="1">
      <alignment horizontal="center" vertical="center"/>
      <protection/>
    </xf>
    <xf numFmtId="0" fontId="15" fillId="0" borderId="17" xfId="62" applyFont="1" applyFill="1" applyBorder="1" applyAlignment="1">
      <alignment horizontal="center" vertical="center"/>
      <protection/>
    </xf>
    <xf numFmtId="0" fontId="15" fillId="0" borderId="11" xfId="62" applyFont="1" applyFill="1" applyBorder="1" applyAlignment="1">
      <alignment horizontal="center" vertical="center"/>
      <protection/>
    </xf>
    <xf numFmtId="0" fontId="15" fillId="0" borderId="19" xfId="62" applyFont="1" applyFill="1" applyBorder="1" applyAlignment="1">
      <alignment horizontal="center" vertical="center"/>
      <protection/>
    </xf>
    <xf numFmtId="0" fontId="15" fillId="39" borderId="14" xfId="62" applyFont="1" applyFill="1" applyBorder="1" applyAlignment="1">
      <alignment horizontal="center" vertical="center"/>
      <protection/>
    </xf>
    <xf numFmtId="0" fontId="15" fillId="39" borderId="13" xfId="62" applyFont="1" applyFill="1" applyBorder="1" applyAlignment="1">
      <alignment horizontal="center" vertical="center"/>
      <protection/>
    </xf>
    <xf numFmtId="0" fontId="15" fillId="39" borderId="20" xfId="62" applyFont="1" applyFill="1" applyBorder="1" applyAlignment="1">
      <alignment horizontal="center" vertical="center"/>
      <protection/>
    </xf>
    <xf numFmtId="0" fontId="15" fillId="39" borderId="18" xfId="62" applyFont="1" applyFill="1" applyBorder="1" applyAlignment="1">
      <alignment horizontal="center" vertical="center"/>
      <protection/>
    </xf>
    <xf numFmtId="165" fontId="17" fillId="0" borderId="20" xfId="62" applyNumberFormat="1" applyFont="1" applyFill="1" applyBorder="1" applyAlignment="1">
      <alignment horizontal="right" vertical="center"/>
      <protection/>
    </xf>
    <xf numFmtId="0" fontId="15" fillId="35" borderId="16" xfId="62" applyFont="1" applyFill="1" applyBorder="1" applyAlignment="1">
      <alignment horizontal="center" vertical="top"/>
      <protection/>
    </xf>
    <xf numFmtId="164" fontId="15" fillId="39" borderId="12" xfId="62" applyNumberFormat="1" applyFont="1" applyFill="1" applyBorder="1" applyAlignment="1">
      <alignment horizontal="right" vertical="center"/>
      <protection/>
    </xf>
    <xf numFmtId="165" fontId="15" fillId="39" borderId="0" xfId="62" applyNumberFormat="1" applyFont="1" applyFill="1" applyBorder="1" applyAlignment="1">
      <alignment horizontal="right" vertical="center"/>
      <protection/>
    </xf>
    <xf numFmtId="164" fontId="15" fillId="39" borderId="15" xfId="62" applyNumberFormat="1" applyFont="1" applyFill="1" applyBorder="1" applyAlignment="1">
      <alignment horizontal="right" vertical="center"/>
      <protection/>
    </xf>
    <xf numFmtId="165" fontId="15" fillId="39" borderId="10" xfId="62" applyNumberFormat="1" applyFont="1" applyFill="1" applyBorder="1" applyAlignment="1">
      <alignment horizontal="right" vertical="center"/>
      <protection/>
    </xf>
    <xf numFmtId="164" fontId="15" fillId="39" borderId="16" xfId="62" applyNumberFormat="1" applyFont="1" applyFill="1" applyBorder="1" applyAlignment="1">
      <alignment horizontal="right" vertical="center"/>
      <protection/>
    </xf>
    <xf numFmtId="165" fontId="1" fillId="39" borderId="25" xfId="62" applyNumberFormat="1" applyFont="1" applyFill="1" applyBorder="1" applyAlignment="1">
      <alignment horizontal="right" vertical="center"/>
      <protection/>
    </xf>
    <xf numFmtId="165" fontId="1" fillId="39" borderId="29" xfId="62" applyNumberFormat="1" applyFont="1" applyFill="1" applyBorder="1" applyAlignment="1">
      <alignment horizontal="right" vertical="center"/>
      <protection/>
    </xf>
    <xf numFmtId="165" fontId="18" fillId="39" borderId="0" xfId="62" applyNumberFormat="1" applyFont="1" applyFill="1" applyBorder="1" applyAlignment="1">
      <alignment horizontal="right" vertical="center"/>
      <protection/>
    </xf>
    <xf numFmtId="0" fontId="0" fillId="0" borderId="0" xfId="0" applyBorder="1" applyAlignment="1">
      <alignment/>
    </xf>
    <xf numFmtId="164" fontId="9" fillId="0" borderId="0" xfId="0" applyNumberFormat="1" applyFont="1" applyAlignment="1">
      <alignment/>
    </xf>
    <xf numFmtId="164" fontId="8" fillId="0" borderId="0" xfId="0" applyNumberFormat="1" applyFont="1" applyAlignment="1" quotePrefix="1">
      <alignment horizontal="right" vertical="top"/>
    </xf>
    <xf numFmtId="0" fontId="8" fillId="0" borderId="0" xfId="0" applyFont="1" applyAlignment="1">
      <alignment horizontal="center" vertical="top"/>
    </xf>
    <xf numFmtId="164" fontId="1" fillId="0" borderId="0" xfId="0" applyNumberFormat="1" applyFont="1" applyFill="1" applyBorder="1" applyAlignment="1">
      <alignment/>
    </xf>
    <xf numFmtId="164" fontId="1" fillId="0" borderId="0" xfId="0" applyNumberFormat="1" applyFont="1" applyBorder="1" applyAlignment="1">
      <alignment horizontal="right" vertical="top"/>
    </xf>
    <xf numFmtId="0" fontId="1" fillId="0" borderId="0" xfId="0" applyFont="1" applyBorder="1" applyAlignment="1">
      <alignment horizontal="right" vertical="top"/>
    </xf>
    <xf numFmtId="0" fontId="15" fillId="0" borderId="24" xfId="0" applyFont="1" applyBorder="1" applyAlignment="1">
      <alignment horizontal="center" vertical="center" wrapText="1"/>
    </xf>
    <xf numFmtId="164" fontId="15" fillId="39" borderId="17" xfId="0" applyNumberFormat="1" applyFont="1" applyFill="1" applyBorder="1" applyAlignment="1">
      <alignment horizontal="right" vertical="center"/>
    </xf>
    <xf numFmtId="164" fontId="1" fillId="0" borderId="12" xfId="0" applyNumberFormat="1" applyFont="1" applyBorder="1" applyAlignment="1">
      <alignment/>
    </xf>
    <xf numFmtId="164" fontId="15" fillId="43" borderId="0" xfId="0" applyNumberFormat="1" applyFont="1" applyFill="1" applyBorder="1" applyAlignment="1">
      <alignment horizontal="right" vertical="center"/>
    </xf>
    <xf numFmtId="164" fontId="15" fillId="39" borderId="11" xfId="0" applyNumberFormat="1" applyFont="1" applyFill="1" applyBorder="1" applyAlignment="1">
      <alignment horizontal="right" vertical="center"/>
    </xf>
    <xf numFmtId="164" fontId="1" fillId="0" borderId="15" xfId="0" applyNumberFormat="1" applyFont="1" applyBorder="1" applyAlignment="1">
      <alignment/>
    </xf>
    <xf numFmtId="164" fontId="15" fillId="39" borderId="18" xfId="0" applyNumberFormat="1" applyFont="1" applyFill="1" applyBorder="1" applyAlignment="1">
      <alignment horizontal="right" vertical="center"/>
    </xf>
    <xf numFmtId="164" fontId="15" fillId="39" borderId="19" xfId="0" applyNumberFormat="1" applyFont="1" applyFill="1" applyBorder="1" applyAlignment="1">
      <alignment horizontal="right" vertical="center"/>
    </xf>
    <xf numFmtId="164" fontId="1" fillId="0" borderId="16" xfId="0" applyNumberFormat="1" applyFont="1" applyBorder="1" applyAlignment="1">
      <alignment/>
    </xf>
    <xf numFmtId="164" fontId="1" fillId="0" borderId="13" xfId="0" applyNumberFormat="1" applyFont="1" applyFill="1" applyBorder="1" applyAlignment="1">
      <alignment horizontal="right" vertical="center"/>
    </xf>
    <xf numFmtId="164" fontId="1" fillId="0" borderId="17" xfId="0" applyNumberFormat="1" applyFont="1" applyFill="1" applyBorder="1" applyAlignment="1">
      <alignment horizontal="right" vertical="center"/>
    </xf>
    <xf numFmtId="164" fontId="1" fillId="39" borderId="20" xfId="0" applyNumberFormat="1" applyFont="1" applyFill="1" applyBorder="1" applyAlignment="1">
      <alignment horizontal="right" vertical="center"/>
    </xf>
    <xf numFmtId="164" fontId="1" fillId="43" borderId="0" xfId="0" applyNumberFormat="1" applyFont="1" applyFill="1" applyBorder="1" applyAlignment="1">
      <alignment horizontal="right" vertical="center"/>
    </xf>
    <xf numFmtId="164" fontId="1" fillId="43" borderId="11" xfId="0" applyNumberFormat="1" applyFont="1" applyFill="1" applyBorder="1" applyAlignment="1">
      <alignment horizontal="right" vertical="center"/>
    </xf>
    <xf numFmtId="164" fontId="1" fillId="39" borderId="0" xfId="0" applyNumberFormat="1" applyFont="1" applyFill="1" applyAlignment="1">
      <alignment horizontal="center" vertical="center"/>
    </xf>
    <xf numFmtId="164" fontId="1" fillId="0" borderId="18" xfId="0" applyNumberFormat="1" applyFont="1" applyFill="1" applyBorder="1" applyAlignment="1">
      <alignment horizontal="right" vertical="center"/>
    </xf>
    <xf numFmtId="164" fontId="1" fillId="0" borderId="10" xfId="0" applyNumberFormat="1" applyFont="1" applyFill="1" applyBorder="1" applyAlignment="1">
      <alignment horizontal="right" vertical="center"/>
    </xf>
    <xf numFmtId="164" fontId="1" fillId="0" borderId="19" xfId="0" applyNumberFormat="1" applyFont="1" applyFill="1" applyBorder="1" applyAlignment="1">
      <alignment horizontal="right" vertical="center"/>
    </xf>
    <xf numFmtId="164" fontId="24" fillId="39" borderId="18" xfId="0" applyNumberFormat="1" applyFont="1" applyFill="1" applyBorder="1" applyAlignment="1">
      <alignment horizontal="right" vertical="center"/>
    </xf>
    <xf numFmtId="164" fontId="24" fillId="39" borderId="10" xfId="0" applyNumberFormat="1" applyFont="1" applyFill="1" applyBorder="1" applyAlignment="1">
      <alignment horizontal="right" vertical="center"/>
    </xf>
    <xf numFmtId="164" fontId="17" fillId="39" borderId="19" xfId="0" applyNumberFormat="1" applyFont="1" applyFill="1" applyBorder="1" applyAlignment="1">
      <alignment horizontal="right" vertical="center"/>
    </xf>
    <xf numFmtId="164" fontId="17" fillId="0" borderId="16" xfId="0" applyNumberFormat="1" applyFont="1" applyBorder="1" applyAlignment="1">
      <alignment/>
    </xf>
    <xf numFmtId="171" fontId="9" fillId="0" borderId="0" xfId="42" applyNumberFormat="1" applyFont="1" applyFill="1" applyBorder="1" applyAlignment="1">
      <alignment/>
    </xf>
    <xf numFmtId="1" fontId="9" fillId="35" borderId="0" xfId="0" applyNumberFormat="1" applyFont="1" applyFill="1" applyBorder="1" applyAlignment="1" quotePrefix="1">
      <alignment horizontal="right"/>
    </xf>
    <xf numFmtId="175" fontId="9" fillId="35" borderId="0"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1" fontId="9" fillId="35" borderId="0" xfId="0" applyNumberFormat="1" applyFont="1" applyFill="1" applyBorder="1" applyAlignment="1">
      <alignment horizontal="right"/>
    </xf>
    <xf numFmtId="0" fontId="9" fillId="0" borderId="0" xfId="0" applyFont="1" applyBorder="1" applyAlignment="1">
      <alignment horizontal="left" vertical="top"/>
    </xf>
    <xf numFmtId="0" fontId="8" fillId="0" borderId="0" xfId="0" applyFont="1" applyBorder="1" applyAlignment="1" quotePrefix="1">
      <alignment horizontal="right" vertical="center"/>
    </xf>
    <xf numFmtId="0" fontId="1" fillId="0" borderId="10" xfId="0" applyFont="1" applyBorder="1" applyAlignment="1">
      <alignment horizontal="right" vertical="center"/>
    </xf>
    <xf numFmtId="1" fontId="15" fillId="0" borderId="10" xfId="0" applyNumberFormat="1" applyFont="1" applyFill="1" applyBorder="1" applyAlignment="1">
      <alignment horizontal="center" vertical="center"/>
    </xf>
    <xf numFmtId="0" fontId="15" fillId="39" borderId="13" xfId="0" applyFont="1" applyFill="1" applyBorder="1" applyAlignment="1">
      <alignment horizontal="center" vertical="center"/>
    </xf>
    <xf numFmtId="164" fontId="18" fillId="39" borderId="13" xfId="0" applyNumberFormat="1" applyFont="1" applyFill="1" applyBorder="1" applyAlignment="1">
      <alignment horizontal="right" vertical="center"/>
    </xf>
    <xf numFmtId="0" fontId="15" fillId="39" borderId="20" xfId="0" applyFont="1" applyFill="1" applyBorder="1" applyAlignment="1">
      <alignment horizontal="center" vertical="center"/>
    </xf>
    <xf numFmtId="164" fontId="18" fillId="39" borderId="20" xfId="0" applyNumberFormat="1" applyFont="1" applyFill="1" applyBorder="1" applyAlignment="1">
      <alignment horizontal="right" vertical="center"/>
    </xf>
    <xf numFmtId="0" fontId="18" fillId="0" borderId="0" xfId="0" applyFont="1" applyFill="1" applyBorder="1" applyAlignment="1">
      <alignment horizontal="right"/>
    </xf>
    <xf numFmtId="0" fontId="15" fillId="39" borderId="18" xfId="0" applyFont="1" applyFill="1" applyBorder="1" applyAlignment="1">
      <alignment horizontal="center" vertical="center"/>
    </xf>
    <xf numFmtId="164" fontId="18" fillId="39" borderId="18" xfId="0" applyNumberFormat="1" applyFont="1" applyFill="1" applyBorder="1" applyAlignment="1">
      <alignment horizontal="right" vertical="center"/>
    </xf>
    <xf numFmtId="164" fontId="18" fillId="39" borderId="16" xfId="0" applyNumberFormat="1" applyFont="1" applyFill="1" applyBorder="1" applyAlignment="1">
      <alignment horizontal="right" vertical="center"/>
    </xf>
    <xf numFmtId="2" fontId="1" fillId="0" borderId="0" xfId="0" applyNumberFormat="1" applyFont="1" applyBorder="1" applyAlignment="1">
      <alignment horizontal="right" vertical="center"/>
    </xf>
    <xf numFmtId="2" fontId="17" fillId="0" borderId="0" xfId="0" applyNumberFormat="1" applyFont="1" applyBorder="1" applyAlignment="1">
      <alignment horizontal="right" vertical="center"/>
    </xf>
    <xf numFmtId="2" fontId="1" fillId="0" borderId="26" xfId="0" applyNumberFormat="1" applyFont="1" applyBorder="1" applyAlignment="1">
      <alignment horizontal="right" vertical="center"/>
    </xf>
    <xf numFmtId="0" fontId="1" fillId="0" borderId="0" xfId="0" applyFont="1" applyFill="1" applyBorder="1" applyAlignment="1">
      <alignment horizontal="right" vertical="center"/>
    </xf>
    <xf numFmtId="2" fontId="17" fillId="39" borderId="0" xfId="0" applyNumberFormat="1" applyFont="1" applyFill="1" applyBorder="1" applyAlignment="1">
      <alignment horizontal="right" vertical="center"/>
    </xf>
    <xf numFmtId="2" fontId="1" fillId="39" borderId="0"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0" fontId="17" fillId="0" borderId="0" xfId="0" applyFont="1" applyFill="1" applyBorder="1" applyAlignment="1">
      <alignment horizontal="right" vertical="center"/>
    </xf>
    <xf numFmtId="2" fontId="17" fillId="0" borderId="0"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64" fontId="17" fillId="0" borderId="15" xfId="0" applyNumberFormat="1" applyFont="1" applyBorder="1" applyAlignment="1">
      <alignment horizontal="right"/>
    </xf>
    <xf numFmtId="2" fontId="1" fillId="39" borderId="13" xfId="0" applyNumberFormat="1" applyFont="1" applyFill="1" applyBorder="1" applyAlignment="1">
      <alignment horizontal="right" vertical="center"/>
    </xf>
    <xf numFmtId="2" fontId="1" fillId="39" borderId="14" xfId="0" applyNumberFormat="1" applyFont="1" applyFill="1" applyBorder="1" applyAlignment="1">
      <alignment horizontal="right" vertical="center"/>
    </xf>
    <xf numFmtId="164" fontId="1" fillId="39" borderId="12" xfId="0" applyNumberFormat="1" applyFont="1" applyFill="1" applyBorder="1" applyAlignment="1">
      <alignment horizontal="right" vertical="center"/>
    </xf>
    <xf numFmtId="2" fontId="1" fillId="0" borderId="20" xfId="0" applyNumberFormat="1" applyFont="1" applyFill="1" applyBorder="1" applyAlignment="1">
      <alignment horizontal="right" vertical="center"/>
    </xf>
    <xf numFmtId="2" fontId="1" fillId="39" borderId="18" xfId="0" applyNumberFormat="1" applyFont="1" applyFill="1" applyBorder="1" applyAlignment="1">
      <alignment horizontal="right" vertical="center"/>
    </xf>
    <xf numFmtId="2" fontId="1" fillId="39" borderId="10" xfId="0" applyNumberFormat="1" applyFont="1" applyFill="1" applyBorder="1" applyAlignment="1">
      <alignment horizontal="right" vertical="center"/>
    </xf>
    <xf numFmtId="164" fontId="17" fillId="0" borderId="12" xfId="0" applyNumberFormat="1" applyFont="1" applyFill="1" applyBorder="1" applyAlignment="1">
      <alignment horizontal="right" vertical="center"/>
    </xf>
    <xf numFmtId="2" fontId="1" fillId="0" borderId="10" xfId="0" applyNumberFormat="1" applyFont="1" applyFill="1" applyBorder="1" applyAlignment="1">
      <alignment horizontal="right" vertical="center"/>
    </xf>
    <xf numFmtId="2" fontId="1" fillId="0" borderId="27" xfId="0" applyNumberFormat="1" applyFont="1" applyFill="1" applyBorder="1" applyAlignment="1">
      <alignment horizontal="right" vertical="center"/>
    </xf>
    <xf numFmtId="4" fontId="0" fillId="0" borderId="0" xfId="0" applyNumberFormat="1" applyAlignment="1">
      <alignment/>
    </xf>
    <xf numFmtId="0" fontId="1" fillId="0" borderId="10" xfId="0" applyFont="1" applyBorder="1" applyAlignment="1">
      <alignment horizontal="right"/>
    </xf>
    <xf numFmtId="0" fontId="1" fillId="0" borderId="0" xfId="0" applyFont="1" applyBorder="1" applyAlignment="1">
      <alignment horizontal="right"/>
    </xf>
    <xf numFmtId="164" fontId="15" fillId="39" borderId="12" xfId="0" applyNumberFormat="1" applyFont="1" applyFill="1" applyBorder="1" applyAlignment="1">
      <alignment horizontal="right" vertical="center"/>
    </xf>
    <xf numFmtId="164" fontId="15" fillId="39" borderId="15" xfId="0" applyNumberFormat="1" applyFont="1" applyFill="1" applyBorder="1" applyAlignment="1">
      <alignment horizontal="right" vertical="center"/>
    </xf>
    <xf numFmtId="164" fontId="15" fillId="39" borderId="16" xfId="0" applyNumberFormat="1" applyFont="1" applyFill="1" applyBorder="1" applyAlignment="1">
      <alignment horizontal="right" vertical="center"/>
    </xf>
    <xf numFmtId="164" fontId="1" fillId="0" borderId="15" xfId="0" applyNumberFormat="1" applyFont="1" applyBorder="1" applyAlignment="1">
      <alignment horizontal="right"/>
    </xf>
    <xf numFmtId="164" fontId="1" fillId="39" borderId="19" xfId="0" applyNumberFormat="1" applyFont="1" applyFill="1" applyBorder="1" applyAlignment="1">
      <alignment horizontal="right" vertical="center"/>
    </xf>
    <xf numFmtId="2" fontId="1" fillId="0" borderId="16" xfId="0" applyNumberFormat="1" applyFont="1" applyFill="1" applyBorder="1" applyAlignment="1">
      <alignment horizontal="right" vertical="center"/>
    </xf>
    <xf numFmtId="49" fontId="15" fillId="0" borderId="0" xfId="0" applyNumberFormat="1" applyFont="1" applyBorder="1" applyAlignment="1">
      <alignment horizontal="left" vertical="top"/>
    </xf>
    <xf numFmtId="0" fontId="1" fillId="0" borderId="10" xfId="0" applyFont="1" applyBorder="1" applyAlignment="1">
      <alignment horizontal="center"/>
    </xf>
    <xf numFmtId="164" fontId="1" fillId="39" borderId="32"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164" fontId="1" fillId="0" borderId="33" xfId="0" applyNumberFormat="1" applyFont="1" applyFill="1" applyBorder="1" applyAlignment="1">
      <alignment horizontal="right" vertical="center"/>
    </xf>
    <xf numFmtId="164" fontId="1" fillId="0" borderId="34" xfId="0" applyNumberFormat="1" applyFont="1" applyFill="1" applyBorder="1" applyAlignment="1">
      <alignment horizontal="right" vertical="center"/>
    </xf>
    <xf numFmtId="0" fontId="15" fillId="0" borderId="0" xfId="0" applyNumberFormat="1" applyFont="1" applyAlignment="1">
      <alignment vertical="top"/>
    </xf>
    <xf numFmtId="0" fontId="15" fillId="0" borderId="0" xfId="0" applyNumberFormat="1" applyFont="1" applyBorder="1" applyAlignment="1">
      <alignment horizontal="left" vertical="top"/>
    </xf>
    <xf numFmtId="0" fontId="1" fillId="0" borderId="0" xfId="0" applyNumberFormat="1" applyFont="1" applyAlignment="1">
      <alignment vertical="top"/>
    </xf>
    <xf numFmtId="164" fontId="15" fillId="39" borderId="15" xfId="0" applyNumberFormat="1" applyFont="1" applyFill="1" applyBorder="1" applyAlignment="1">
      <alignment horizontal="right"/>
    </xf>
    <xf numFmtId="164" fontId="15" fillId="39" borderId="0" xfId="0" applyNumberFormat="1" applyFont="1" applyFill="1" applyBorder="1" applyAlignment="1">
      <alignment horizontal="right"/>
    </xf>
    <xf numFmtId="164" fontId="17" fillId="0" borderId="0" xfId="0" applyNumberFormat="1" applyFont="1" applyAlignment="1">
      <alignment/>
    </xf>
    <xf numFmtId="208" fontId="1" fillId="39" borderId="14" xfId="0" applyNumberFormat="1" applyFont="1" applyFill="1" applyBorder="1" applyAlignment="1">
      <alignment horizontal="right" vertical="center"/>
    </xf>
    <xf numFmtId="164" fontId="17" fillId="39" borderId="17" xfId="0" applyNumberFormat="1" applyFont="1" applyFill="1" applyBorder="1" applyAlignment="1">
      <alignment horizontal="right" vertical="center"/>
    </xf>
    <xf numFmtId="208" fontId="1" fillId="0" borderId="0" xfId="0" applyNumberFormat="1" applyFont="1" applyFill="1" applyBorder="1" applyAlignment="1">
      <alignment horizontal="right" vertical="center"/>
    </xf>
    <xf numFmtId="208" fontId="1" fillId="39" borderId="10" xfId="0" applyNumberFormat="1" applyFont="1" applyFill="1" applyBorder="1" applyAlignment="1">
      <alignment horizontal="right" vertical="center"/>
    </xf>
    <xf numFmtId="164" fontId="1" fillId="0" borderId="16" xfId="0" applyNumberFormat="1" applyFont="1" applyBorder="1" applyAlignment="1">
      <alignment horizontal="right"/>
    </xf>
    <xf numFmtId="164" fontId="14" fillId="0" borderId="0" xfId="0" applyNumberFormat="1" applyFont="1" applyAlignment="1">
      <alignment/>
    </xf>
    <xf numFmtId="0" fontId="0" fillId="0" borderId="0" xfId="0" applyFont="1" applyAlignment="1">
      <alignment horizontal="right"/>
    </xf>
    <xf numFmtId="170" fontId="14" fillId="0" borderId="0" xfId="42" applyNumberFormat="1" applyFont="1" applyAlignment="1">
      <alignment/>
    </xf>
    <xf numFmtId="191" fontId="9" fillId="35" borderId="0" xfId="0" applyNumberFormat="1" applyFont="1" applyFill="1" applyBorder="1" applyAlignment="1">
      <alignment/>
    </xf>
    <xf numFmtId="164" fontId="10" fillId="0" borderId="0" xfId="0" applyNumberFormat="1" applyFont="1" applyFill="1" applyBorder="1" applyAlignment="1">
      <alignment/>
    </xf>
    <xf numFmtId="200" fontId="9" fillId="35" borderId="0" xfId="0" applyNumberFormat="1" applyFont="1" applyFill="1" applyBorder="1" applyAlignment="1">
      <alignment/>
    </xf>
    <xf numFmtId="191" fontId="9" fillId="0" borderId="0" xfId="0" applyNumberFormat="1" applyFont="1" applyFill="1" applyBorder="1" applyAlignment="1">
      <alignment/>
    </xf>
    <xf numFmtId="180" fontId="9" fillId="0" borderId="0" xfId="0" applyNumberFormat="1" applyFont="1" applyFill="1" applyBorder="1" applyAlignment="1">
      <alignment/>
    </xf>
    <xf numFmtId="191" fontId="9" fillId="0" borderId="0" xfId="0" applyNumberFormat="1" applyFont="1" applyFill="1" applyBorder="1" applyAlignment="1">
      <alignment horizontal="right"/>
    </xf>
    <xf numFmtId="0" fontId="1" fillId="35" borderId="12" xfId="0" applyFont="1" applyFill="1" applyBorder="1" applyAlignment="1">
      <alignment horizontal="right" vertical="center"/>
    </xf>
    <xf numFmtId="165" fontId="1" fillId="0" borderId="20" xfId="0" applyNumberFormat="1" applyFont="1" applyBorder="1" applyAlignment="1">
      <alignment horizontal="right" vertical="center"/>
    </xf>
    <xf numFmtId="165" fontId="1" fillId="0" borderId="0" xfId="0" applyNumberFormat="1" applyFont="1" applyBorder="1" applyAlignment="1">
      <alignment horizontal="right" vertical="center"/>
    </xf>
    <xf numFmtId="165" fontId="1" fillId="38" borderId="0" xfId="0" applyNumberFormat="1" applyFont="1" applyFill="1" applyBorder="1" applyAlignment="1">
      <alignment horizontal="right" vertical="center"/>
    </xf>
    <xf numFmtId="165" fontId="1" fillId="39" borderId="18" xfId="0" applyNumberFormat="1" applyFont="1" applyFill="1" applyBorder="1" applyAlignment="1">
      <alignment horizontal="right" vertical="center"/>
    </xf>
    <xf numFmtId="165" fontId="1" fillId="39" borderId="10" xfId="0" applyNumberFormat="1" applyFont="1" applyFill="1" applyBorder="1" applyAlignment="1">
      <alignment horizontal="right" vertical="center"/>
    </xf>
    <xf numFmtId="165" fontId="17" fillId="39" borderId="10" xfId="0" applyNumberFormat="1" applyFont="1" applyFill="1" applyBorder="1" applyAlignment="1">
      <alignment horizontal="right" vertical="center"/>
    </xf>
    <xf numFmtId="165" fontId="1" fillId="39" borderId="19" xfId="0" applyNumberFormat="1" applyFont="1" applyFill="1" applyBorder="1" applyAlignment="1">
      <alignment horizontal="right" vertical="center"/>
    </xf>
    <xf numFmtId="0" fontId="1" fillId="35" borderId="16" xfId="0" applyFont="1" applyFill="1" applyBorder="1" applyAlignment="1">
      <alignment horizontal="right" vertical="center"/>
    </xf>
    <xf numFmtId="171" fontId="14" fillId="0" borderId="0" xfId="0" applyNumberFormat="1" applyFont="1" applyAlignment="1">
      <alignment/>
    </xf>
    <xf numFmtId="0" fontId="52" fillId="0" borderId="0" xfId="0" applyFont="1" applyFill="1" applyAlignment="1">
      <alignment/>
    </xf>
    <xf numFmtId="165" fontId="0" fillId="45" borderId="0" xfId="0" applyNumberFormat="1" applyFill="1" applyAlignment="1">
      <alignment/>
    </xf>
    <xf numFmtId="0" fontId="0" fillId="45" borderId="0" xfId="0" applyFill="1" applyAlignment="1">
      <alignment/>
    </xf>
    <xf numFmtId="0" fontId="1" fillId="45" borderId="0" xfId="0" applyFont="1" applyFill="1" applyBorder="1" applyAlignment="1">
      <alignment horizontal="right" vertical="center"/>
    </xf>
    <xf numFmtId="0" fontId="0" fillId="45" borderId="0" xfId="0" applyFont="1" applyFill="1" applyAlignment="1">
      <alignment/>
    </xf>
    <xf numFmtId="184" fontId="9" fillId="0" borderId="0" xfId="42" applyNumberFormat="1" applyFont="1" applyFill="1" applyAlignment="1">
      <alignment horizontal="right"/>
    </xf>
    <xf numFmtId="3" fontId="9" fillId="0" borderId="35" xfId="42" applyNumberFormat="1" applyFont="1" applyFill="1" applyBorder="1" applyAlignment="1">
      <alignment horizontal="right"/>
    </xf>
    <xf numFmtId="3" fontId="9" fillId="0" borderId="36" xfId="42" applyNumberFormat="1" applyFont="1" applyFill="1" applyBorder="1" applyAlignment="1">
      <alignment horizontal="right"/>
    </xf>
    <xf numFmtId="175" fontId="1" fillId="43" borderId="0" xfId="0" applyNumberFormat="1" applyFont="1" applyFill="1" applyBorder="1" applyAlignment="1">
      <alignment horizontal="center" vertical="center"/>
    </xf>
    <xf numFmtId="0" fontId="0" fillId="43" borderId="11" xfId="0" applyFill="1" applyBorder="1" applyAlignment="1">
      <alignment horizontal="center" vertical="center"/>
    </xf>
    <xf numFmtId="175" fontId="1" fillId="0" borderId="0" xfId="0" applyNumberFormat="1" applyFont="1" applyFill="1" applyBorder="1" applyAlignment="1">
      <alignment horizontal="center" vertical="center"/>
    </xf>
    <xf numFmtId="175" fontId="1" fillId="0" borderId="11" xfId="0" applyNumberFormat="1" applyFont="1" applyFill="1" applyBorder="1" applyAlignment="1">
      <alignment horizontal="center" vertical="center"/>
    </xf>
    <xf numFmtId="43" fontId="0" fillId="0" borderId="0" xfId="0" applyNumberFormat="1" applyAlignment="1">
      <alignment/>
    </xf>
    <xf numFmtId="191" fontId="9" fillId="0" borderId="10" xfId="0" applyNumberFormat="1" applyFont="1" applyFill="1" applyBorder="1" applyAlignment="1">
      <alignment horizontal="right"/>
    </xf>
    <xf numFmtId="191" fontId="9" fillId="35" borderId="10" xfId="0" applyNumberFormat="1" applyFont="1" applyFill="1" applyBorder="1" applyAlignment="1">
      <alignment/>
    </xf>
    <xf numFmtId="191" fontId="9" fillId="0" borderId="10" xfId="0" applyNumberFormat="1" applyFont="1" applyFill="1" applyBorder="1" applyAlignment="1">
      <alignment/>
    </xf>
    <xf numFmtId="164" fontId="10" fillId="0" borderId="10" xfId="0" applyNumberFormat="1" applyFont="1" applyFill="1" applyBorder="1" applyAlignment="1">
      <alignment/>
    </xf>
    <xf numFmtId="164" fontId="9" fillId="0" borderId="0" xfId="0" applyNumberFormat="1" applyFont="1" applyFill="1" applyBorder="1" applyAlignment="1">
      <alignment horizontal="right"/>
    </xf>
    <xf numFmtId="164" fontId="9" fillId="36" borderId="0" xfId="0" applyNumberFormat="1" applyFont="1" applyFill="1" applyBorder="1" applyAlignment="1">
      <alignment horizontal="right"/>
    </xf>
    <xf numFmtId="164" fontId="9" fillId="35" borderId="0" xfId="0" applyNumberFormat="1" applyFont="1" applyFill="1" applyBorder="1" applyAlignment="1">
      <alignment horizontal="right"/>
    </xf>
    <xf numFmtId="164" fontId="10" fillId="0" borderId="0" xfId="0" applyNumberFormat="1" applyFont="1" applyFill="1" applyBorder="1" applyAlignment="1">
      <alignment horizontal="right"/>
    </xf>
    <xf numFmtId="171" fontId="9" fillId="35" borderId="0" xfId="42" applyNumberFormat="1" applyFont="1" applyFill="1" applyBorder="1" applyAlignment="1">
      <alignment horizontal="right"/>
    </xf>
    <xf numFmtId="171" fontId="9" fillId="0" borderId="0" xfId="42" applyNumberFormat="1" applyFont="1" applyFill="1" applyBorder="1" applyAlignment="1">
      <alignment horizontal="right"/>
    </xf>
    <xf numFmtId="164" fontId="9" fillId="0" borderId="0" xfId="0" applyNumberFormat="1" applyFont="1" applyFill="1" applyBorder="1" applyAlignment="1">
      <alignment horizontal="right" vertical="center"/>
    </xf>
    <xf numFmtId="170" fontId="9" fillId="0" borderId="0" xfId="42" applyNumberFormat="1" applyFont="1" applyFill="1" applyBorder="1" applyAlignment="1">
      <alignment/>
    </xf>
    <xf numFmtId="170" fontId="9" fillId="0" borderId="10" xfId="42" applyNumberFormat="1" applyFont="1" applyFill="1" applyBorder="1" applyAlignment="1">
      <alignment/>
    </xf>
    <xf numFmtId="43" fontId="9" fillId="0" borderId="0" xfId="42" applyNumberFormat="1" applyFont="1" applyFill="1" applyBorder="1" applyAlignment="1">
      <alignment/>
    </xf>
    <xf numFmtId="171" fontId="9" fillId="0" borderId="0" xfId="0" applyNumberFormat="1" applyFont="1" applyFill="1" applyBorder="1" applyAlignment="1">
      <alignment/>
    </xf>
    <xf numFmtId="1" fontId="69" fillId="0" borderId="0" xfId="0" applyNumberFormat="1" applyFont="1" applyFill="1" applyBorder="1" applyAlignment="1">
      <alignment horizontal="right"/>
    </xf>
    <xf numFmtId="191" fontId="68" fillId="0" borderId="0" xfId="0" applyNumberFormat="1" applyFont="1" applyFill="1" applyBorder="1" applyAlignment="1">
      <alignment/>
    </xf>
    <xf numFmtId="191" fontId="68" fillId="0" borderId="10" xfId="0" applyNumberFormat="1" applyFont="1" applyFill="1" applyBorder="1" applyAlignment="1">
      <alignment/>
    </xf>
    <xf numFmtId="0" fontId="9" fillId="13" borderId="0" xfId="0" applyFont="1" applyFill="1" applyBorder="1" applyAlignment="1">
      <alignment horizontal="center" wrapText="1"/>
    </xf>
    <xf numFmtId="0" fontId="9" fillId="13" borderId="0" xfId="0" applyFont="1" applyFill="1" applyBorder="1" applyAlignment="1">
      <alignment horizontal="center"/>
    </xf>
    <xf numFmtId="0" fontId="8" fillId="0" borderId="10" xfId="0" applyFont="1" applyFill="1" applyBorder="1" applyAlignment="1">
      <alignment horizontal="center" wrapText="1"/>
    </xf>
    <xf numFmtId="0" fontId="9" fillId="0" borderId="10" xfId="0" applyFont="1" applyFill="1" applyBorder="1" applyAlignment="1">
      <alignment horizontal="center" wrapText="1"/>
    </xf>
    <xf numFmtId="0" fontId="10" fillId="0" borderId="0" xfId="0" applyFont="1" applyFill="1" applyBorder="1" applyAlignment="1">
      <alignment textRotation="90" wrapText="1"/>
    </xf>
    <xf numFmtId="0" fontId="71" fillId="0" borderId="0" xfId="0" applyNumberFormat="1" applyFont="1" applyFill="1" applyBorder="1" applyAlignment="1">
      <alignment horizontal="center" wrapText="1"/>
    </xf>
    <xf numFmtId="0" fontId="9" fillId="13" borderId="0" xfId="0" applyFont="1" applyFill="1" applyBorder="1" applyAlignment="1">
      <alignment wrapText="1"/>
    </xf>
    <xf numFmtId="0" fontId="0" fillId="13" borderId="0" xfId="0" applyFill="1" applyAlignment="1">
      <alignment wrapText="1"/>
    </xf>
    <xf numFmtId="0" fontId="0" fillId="0" borderId="13" xfId="0" applyFont="1" applyBorder="1" applyAlignment="1">
      <alignment horizontal="center" wrapText="1"/>
    </xf>
    <xf numFmtId="0" fontId="0" fillId="0" borderId="17" xfId="0" applyFont="1" applyBorder="1" applyAlignment="1">
      <alignment horizontal="center" wrapText="1"/>
    </xf>
    <xf numFmtId="0" fontId="0" fillId="0" borderId="20" xfId="0" applyFont="1" applyBorder="1" applyAlignment="1">
      <alignment horizontal="center" wrapText="1"/>
    </xf>
    <xf numFmtId="0" fontId="0" fillId="0" borderId="11"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13"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center"/>
    </xf>
    <xf numFmtId="1" fontId="15" fillId="36" borderId="20" xfId="63" applyNumberFormat="1" applyFont="1" applyFill="1" applyBorder="1" applyAlignment="1">
      <alignment horizontal="center" wrapText="1"/>
      <protection/>
    </xf>
    <xf numFmtId="1" fontId="15" fillId="36" borderId="0" xfId="63" applyNumberFormat="1" applyFont="1" applyFill="1" applyBorder="1" applyAlignment="1">
      <alignment horizontal="center" wrapText="1"/>
      <protection/>
    </xf>
    <xf numFmtId="1" fontId="15" fillId="36" borderId="11" xfId="63" applyNumberFormat="1" applyFont="1" applyFill="1" applyBorder="1" applyAlignment="1">
      <alignment horizontal="center" wrapText="1"/>
      <protection/>
    </xf>
    <xf numFmtId="196" fontId="15" fillId="0" borderId="0" xfId="63" applyNumberFormat="1" applyFont="1" applyFill="1" applyBorder="1" applyAlignment="1">
      <alignment horizontal="left" wrapText="1"/>
      <protection/>
    </xf>
    <xf numFmtId="0" fontId="0" fillId="0" borderId="0" xfId="63" applyAlignment="1">
      <alignment wrapText="1"/>
      <protection/>
    </xf>
    <xf numFmtId="196" fontId="15" fillId="0" borderId="0" xfId="63" applyNumberFormat="1" applyFont="1" applyFill="1" applyBorder="1" applyAlignment="1">
      <alignment horizontal="left" vertical="top" wrapText="1"/>
      <protection/>
    </xf>
    <xf numFmtId="0" fontId="0" fillId="0" borderId="0" xfId="63" applyAlignment="1">
      <alignment vertical="top" wrapText="1"/>
      <protection/>
    </xf>
    <xf numFmtId="196" fontId="1" fillId="0" borderId="0" xfId="63" applyNumberFormat="1" applyFont="1" applyFill="1" applyBorder="1" applyAlignment="1">
      <alignment horizontal="left" vertical="top" wrapText="1"/>
      <protection/>
    </xf>
    <xf numFmtId="0" fontId="0" fillId="0" borderId="0" xfId="63" applyFont="1" applyAlignment="1">
      <alignment vertical="top" wrapText="1"/>
      <protection/>
    </xf>
    <xf numFmtId="0" fontId="8" fillId="0" borderId="0" xfId="63" applyFont="1" applyBorder="1" applyAlignment="1">
      <alignment horizontal="center" vertical="top"/>
      <protection/>
    </xf>
    <xf numFmtId="0" fontId="15" fillId="36" borderId="13" xfId="63" applyFont="1" applyFill="1" applyBorder="1" applyAlignment="1">
      <alignment horizontal="center" vertical="center"/>
      <protection/>
    </xf>
    <xf numFmtId="0" fontId="15" fillId="36" borderId="17" xfId="63" applyFont="1" applyFill="1" applyBorder="1" applyAlignment="1">
      <alignment horizontal="center" vertical="center"/>
      <protection/>
    </xf>
    <xf numFmtId="0" fontId="15" fillId="36" borderId="20" xfId="63" applyFont="1" applyFill="1" applyBorder="1" applyAlignment="1">
      <alignment horizontal="center" vertical="center"/>
      <protection/>
    </xf>
    <xf numFmtId="0" fontId="15" fillId="36" borderId="11" xfId="63" applyFont="1" applyFill="1" applyBorder="1" applyAlignment="1">
      <alignment horizontal="center" vertical="center"/>
      <protection/>
    </xf>
    <xf numFmtId="1" fontId="15" fillId="36" borderId="13" xfId="63" applyNumberFormat="1" applyFont="1" applyFill="1" applyBorder="1" applyAlignment="1">
      <alignment horizontal="center" vertical="center" wrapText="1"/>
      <protection/>
    </xf>
    <xf numFmtId="1" fontId="15" fillId="36" borderId="17" xfId="63" applyNumberFormat="1" applyFont="1" applyFill="1" applyBorder="1" applyAlignment="1">
      <alignment horizontal="center" vertical="center" wrapText="1"/>
      <protection/>
    </xf>
    <xf numFmtId="1" fontId="15" fillId="36" borderId="20" xfId="63" applyNumberFormat="1" applyFont="1" applyFill="1" applyBorder="1" applyAlignment="1">
      <alignment horizontal="center" vertical="center" wrapText="1"/>
      <protection/>
    </xf>
    <xf numFmtId="1" fontId="15" fillId="36" borderId="11" xfId="63" applyNumberFormat="1" applyFont="1" applyFill="1" applyBorder="1" applyAlignment="1">
      <alignment horizontal="center" vertical="center" wrapText="1"/>
      <protection/>
    </xf>
    <xf numFmtId="1" fontId="15" fillId="36" borderId="13" xfId="63" applyNumberFormat="1" applyFont="1" applyFill="1" applyBorder="1" applyAlignment="1">
      <alignment horizontal="center" wrapText="1"/>
      <protection/>
    </xf>
    <xf numFmtId="1" fontId="15" fillId="36" borderId="14" xfId="63" applyNumberFormat="1" applyFont="1" applyFill="1" applyBorder="1" applyAlignment="1">
      <alignment horizontal="center" wrapText="1"/>
      <protection/>
    </xf>
    <xf numFmtId="1" fontId="15" fillId="36" borderId="17" xfId="63" applyNumberFormat="1" applyFont="1" applyFill="1" applyBorder="1" applyAlignment="1">
      <alignment horizontal="center" wrapText="1"/>
      <protection/>
    </xf>
    <xf numFmtId="0" fontId="8" fillId="0" borderId="0" xfId="0" applyFont="1" applyBorder="1" applyAlignment="1">
      <alignment horizontal="center" vertical="top" wrapText="1"/>
    </xf>
    <xf numFmtId="0" fontId="14" fillId="0" borderId="0" xfId="0" applyFont="1" applyBorder="1" applyAlignment="1">
      <alignment horizontal="center" vertical="center" wrapText="1"/>
    </xf>
    <xf numFmtId="0" fontId="15" fillId="0" borderId="14" xfId="0" applyFont="1" applyFill="1" applyBorder="1" applyAlignment="1" quotePrefix="1">
      <alignment wrapText="1"/>
    </xf>
    <xf numFmtId="0" fontId="1" fillId="0" borderId="0" xfId="0" applyFont="1" applyFill="1" applyBorder="1" applyAlignment="1" quotePrefix="1">
      <alignment vertical="top" wrapText="1"/>
    </xf>
    <xf numFmtId="0" fontId="8" fillId="0" borderId="0" xfId="0" applyFont="1" applyBorder="1" applyAlignment="1">
      <alignment horizontal="center" vertical="top"/>
    </xf>
    <xf numFmtId="0" fontId="1" fillId="0" borderId="10" xfId="0" applyFont="1" applyBorder="1" applyAlignment="1">
      <alignment horizontal="right" vertical="center"/>
    </xf>
    <xf numFmtId="0" fontId="15" fillId="0" borderId="14" xfId="0" applyFont="1" applyBorder="1" applyAlignment="1">
      <alignment wrapText="1"/>
    </xf>
    <xf numFmtId="49" fontId="15" fillId="0" borderId="0" xfId="0" applyNumberFormat="1" applyFont="1" applyBorder="1" applyAlignment="1">
      <alignment horizontal="left" wrapText="1"/>
    </xf>
    <xf numFmtId="0" fontId="8" fillId="0" borderId="0" xfId="0" applyNumberFormat="1" applyFont="1" applyBorder="1" applyAlignment="1">
      <alignment horizontal="center" vertical="top"/>
    </xf>
    <xf numFmtId="0" fontId="15" fillId="0" borderId="0" xfId="0" applyFont="1" applyBorder="1" applyAlignment="1">
      <alignment horizontal="left"/>
    </xf>
    <xf numFmtId="0" fontId="8"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wrapText="1"/>
    </xf>
    <xf numFmtId="49" fontId="15" fillId="0" borderId="0" xfId="0" applyNumberFormat="1" applyFont="1" applyAlignment="1">
      <alignment vertical="top" wrapText="1"/>
    </xf>
    <xf numFmtId="49" fontId="15" fillId="0" borderId="14" xfId="0" applyNumberFormat="1" applyFont="1" applyBorder="1" applyAlignment="1">
      <alignment horizontal="left" wrapText="1"/>
    </xf>
    <xf numFmtId="0" fontId="8" fillId="0" borderId="0" xfId="0" applyFont="1" applyFill="1" applyBorder="1" applyAlignment="1">
      <alignment horizontal="center" vertical="top"/>
    </xf>
    <xf numFmtId="0" fontId="9" fillId="0" borderId="0" xfId="0" applyFont="1" applyAlignment="1">
      <alignment vertical="top" wrapText="1"/>
    </xf>
    <xf numFmtId="0" fontId="0" fillId="0" borderId="0" xfId="0" applyFont="1" applyBorder="1" applyAlignment="1">
      <alignment horizontal="center" vertical="center"/>
    </xf>
    <xf numFmtId="0" fontId="15" fillId="0" borderId="14" xfId="0" applyFont="1" applyBorder="1" applyAlignment="1">
      <alignment horizontal="left" wrapText="1"/>
    </xf>
    <xf numFmtId="0" fontId="15" fillId="0" borderId="0" xfId="0" applyFont="1" applyAlignment="1">
      <alignment horizontal="left" wrapText="1"/>
    </xf>
    <xf numFmtId="0" fontId="1" fillId="0" borderId="0" xfId="0" applyFont="1" applyAlignment="1">
      <alignment horizontal="left" vertical="top" wrapText="1"/>
    </xf>
    <xf numFmtId="0" fontId="15" fillId="0" borderId="0" xfId="0" applyFont="1" applyAlignment="1">
      <alignment horizontal="left" vertical="top" wrapText="1"/>
    </xf>
    <xf numFmtId="0" fontId="13" fillId="0" borderId="0" xfId="0" applyFont="1" applyAlignment="1" quotePrefix="1">
      <alignment horizontal="left"/>
    </xf>
    <xf numFmtId="0" fontId="8" fillId="0" borderId="0" xfId="0" applyFont="1" applyFill="1" applyAlignment="1">
      <alignment horizontal="right" vertical="center" wrapText="1"/>
    </xf>
    <xf numFmtId="0" fontId="0" fillId="0" borderId="0" xfId="0" applyAlignment="1">
      <alignment wrapText="1"/>
    </xf>
    <xf numFmtId="0" fontId="0" fillId="0" borderId="10" xfId="0" applyFont="1" applyBorder="1" applyAlignment="1">
      <alignment horizontal="center" vertical="center"/>
    </xf>
    <xf numFmtId="0" fontId="15" fillId="35" borderId="12"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 fillId="0" borderId="0" xfId="63" applyFont="1" applyAlignment="1">
      <alignment wrapText="1"/>
      <protection/>
    </xf>
    <xf numFmtId="0" fontId="14" fillId="0" borderId="0" xfId="63" applyFont="1" applyBorder="1" applyAlignment="1">
      <alignment horizontal="center" vertical="top"/>
      <protection/>
    </xf>
    <xf numFmtId="0" fontId="15" fillId="0" borderId="14" xfId="63" applyFont="1" applyBorder="1" applyAlignment="1">
      <alignment wrapText="1"/>
      <protection/>
    </xf>
    <xf numFmtId="0" fontId="0" fillId="0" borderId="14" xfId="63" applyBorder="1" applyAlignment="1">
      <alignment wrapText="1"/>
      <protection/>
    </xf>
    <xf numFmtId="0" fontId="15" fillId="0" borderId="0" xfId="63" applyFont="1" applyAlignment="1">
      <alignment wrapText="1"/>
      <protection/>
    </xf>
    <xf numFmtId="0" fontId="1" fillId="0" borderId="0" xfId="62" applyFont="1" applyAlignment="1">
      <alignment vertical="top" wrapText="1"/>
      <protection/>
    </xf>
    <xf numFmtId="0" fontId="9" fillId="0" borderId="0" xfId="62" applyFont="1" applyAlignment="1">
      <alignment vertical="top" wrapText="1"/>
      <protection/>
    </xf>
    <xf numFmtId="0" fontId="8" fillId="0" borderId="0" xfId="62" applyFont="1" applyBorder="1" applyAlignment="1">
      <alignment horizontal="center" vertical="top"/>
      <protection/>
    </xf>
    <xf numFmtId="0" fontId="14" fillId="0" borderId="0" xfId="62" applyFont="1" applyBorder="1" applyAlignment="1">
      <alignment horizontal="center" vertical="center"/>
      <protection/>
    </xf>
    <xf numFmtId="0" fontId="15" fillId="0" borderId="14" xfId="62" applyFont="1" applyBorder="1" applyAlignment="1">
      <alignment horizontal="left" wrapText="1"/>
      <protection/>
    </xf>
    <xf numFmtId="0" fontId="0" fillId="0" borderId="14" xfId="62" applyBorder="1" applyAlignment="1">
      <alignment horizontal="left" wrapText="1"/>
      <protection/>
    </xf>
    <xf numFmtId="0" fontId="15" fillId="0" borderId="0" xfId="62" applyFont="1" applyAlignment="1">
      <alignment wrapText="1"/>
      <protection/>
    </xf>
    <xf numFmtId="0" fontId="1" fillId="0" borderId="0" xfId="62" applyFont="1" applyAlignment="1">
      <alignment wrapText="1"/>
      <protection/>
    </xf>
    <xf numFmtId="0" fontId="1" fillId="0" borderId="0" xfId="62" applyFont="1" applyBorder="1" applyAlignment="1">
      <alignment vertical="top" wrapText="1"/>
      <protection/>
    </xf>
    <xf numFmtId="0" fontId="8" fillId="0" borderId="0" xfId="62" applyFont="1" applyBorder="1" applyAlignment="1">
      <alignment horizontal="center" vertical="top" wrapText="1"/>
      <protection/>
    </xf>
    <xf numFmtId="0" fontId="14" fillId="0" borderId="0" xfId="62" applyFont="1" applyBorder="1" applyAlignment="1">
      <alignment horizontal="center" vertical="center" wrapText="1"/>
      <protection/>
    </xf>
    <xf numFmtId="0" fontId="15" fillId="0" borderId="14" xfId="62" applyFont="1" applyBorder="1" applyAlignment="1">
      <alignment vertical="center" wrapText="1"/>
      <protection/>
    </xf>
    <xf numFmtId="0" fontId="0" fillId="0" borderId="14" xfId="62" applyBorder="1" applyAlignment="1">
      <alignment vertical="center" wrapText="1"/>
      <protection/>
    </xf>
    <xf numFmtId="0" fontId="15" fillId="0" borderId="0" xfId="62" applyFont="1" applyBorder="1" applyAlignment="1">
      <alignment wrapText="1"/>
      <protection/>
    </xf>
    <xf numFmtId="0" fontId="1" fillId="0" borderId="0" xfId="62" applyFont="1" applyBorder="1" applyAlignment="1">
      <alignment wrapText="1"/>
      <protection/>
    </xf>
    <xf numFmtId="0" fontId="8" fillId="0" borderId="0" xfId="0" applyFont="1" applyAlignment="1">
      <alignment horizontal="center" vertical="top"/>
    </xf>
    <xf numFmtId="0" fontId="15" fillId="0" borderId="0" xfId="0" applyFont="1" applyBorder="1" applyAlignment="1">
      <alignment horizontal="left" wrapText="1"/>
    </xf>
    <xf numFmtId="0" fontId="0" fillId="0" borderId="0" xfId="0" applyAlignment="1">
      <alignment horizontal="center" vertical="top" wrapText="1"/>
    </xf>
    <xf numFmtId="0" fontId="0" fillId="0" borderId="0" xfId="0" applyBorder="1" applyAlignment="1">
      <alignment wrapText="1"/>
    </xf>
    <xf numFmtId="170" fontId="9" fillId="35" borderId="0" xfId="42" applyNumberFormat="1" applyFont="1" applyFill="1" applyBorder="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rmal 4 2" xfId="64"/>
    <cellStyle name="Normal 5" xfId="65"/>
    <cellStyle name="Normal 5 2" xfId="66"/>
    <cellStyle name="Normal 6" xfId="67"/>
    <cellStyle name="Normál_t6" xfId="68"/>
    <cellStyle name="Note" xfId="69"/>
    <cellStyle name="Output" xfId="70"/>
    <cellStyle name="Percent" xfId="71"/>
    <cellStyle name="Standard_E00seit45" xfId="72"/>
    <cellStyle name="Title" xfId="73"/>
    <cellStyle name="Titre ligne" xfId="74"/>
    <cellStyle name="Total" xfId="75"/>
    <cellStyle name="Total intermediaire"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N93"/>
  <sheetViews>
    <sheetView tabSelected="1" zoomScale="55" zoomScaleNormal="55" zoomScalePageLayoutView="0" workbookViewId="0" topLeftCell="A4">
      <pane xSplit="10" ySplit="5" topLeftCell="V28" activePane="bottomRight" state="frozen"/>
      <selection pane="topLeft" activeCell="A4" sqref="A4"/>
      <selection pane="topRight" activeCell="K4" sqref="K4"/>
      <selection pane="bottomLeft" activeCell="A10" sqref="A10"/>
      <selection pane="bottomRight" activeCell="AT61" sqref="AT61"/>
    </sheetView>
  </sheetViews>
  <sheetFormatPr defaultColWidth="9.140625" defaultRowHeight="12.75"/>
  <cols>
    <col min="1" max="1" width="2.28125" style="2" customWidth="1"/>
    <col min="2" max="2" width="1.28515625" style="2" customWidth="1"/>
    <col min="3" max="3" width="20.00390625" style="2" customWidth="1"/>
    <col min="4" max="4" width="0.71875" style="2" customWidth="1"/>
    <col min="5" max="5" width="9.57421875" style="2" customWidth="1"/>
    <col min="6" max="6" width="0.85546875" style="2" customWidth="1"/>
    <col min="7" max="7" width="12.421875" style="2" customWidth="1"/>
    <col min="8" max="8" width="0.5625" style="2" customWidth="1"/>
    <col min="9" max="9" width="9.8515625" style="2" customWidth="1"/>
    <col min="10" max="10" width="2.28125" style="2" customWidth="1"/>
    <col min="11" max="11" width="9.7109375" style="4" customWidth="1"/>
    <col min="12" max="12" width="0.85546875" style="2" customWidth="1"/>
    <col min="13" max="13" width="10.140625" style="2" customWidth="1"/>
    <col min="14" max="14" width="9.140625" style="2" customWidth="1"/>
    <col min="15" max="17" width="8.28125" style="2" customWidth="1"/>
    <col min="18" max="18" width="10.7109375" style="2" customWidth="1"/>
    <col min="19" max="19" width="11.421875" style="2" customWidth="1"/>
    <col min="20" max="21" width="8.28125" style="2" customWidth="1"/>
    <col min="22" max="22" width="9.28125" style="2" bestFit="1" customWidth="1"/>
    <col min="23" max="24" width="10.7109375" style="2" customWidth="1"/>
    <col min="25" max="25" width="8.28125" style="2" customWidth="1"/>
    <col min="26" max="26" width="11.8515625" style="2" customWidth="1"/>
    <col min="27" max="27" width="11.140625" style="2" customWidth="1"/>
    <col min="28" max="28" width="10.421875" style="2" customWidth="1"/>
    <col min="29" max="29" width="11.00390625" style="2" customWidth="1"/>
    <col min="30" max="35" width="8.28125" style="2" customWidth="1"/>
    <col min="36" max="36" width="11.00390625" style="2" customWidth="1"/>
    <col min="37" max="37" width="10.00390625" style="2" customWidth="1"/>
    <col min="38" max="38" width="8.28125" style="2" customWidth="1"/>
    <col min="39" max="39" width="12.28125" style="2" customWidth="1"/>
    <col min="40" max="40" width="2.8515625" style="2" customWidth="1"/>
    <col min="41" max="41" width="13.140625" style="2" customWidth="1"/>
    <col min="42" max="42" width="13.28125" style="2" customWidth="1"/>
    <col min="43" max="44" width="2.00390625" style="2" customWidth="1"/>
    <col min="45" max="45" width="9.28125" style="2" customWidth="1"/>
    <col min="46" max="46" width="10.00390625" style="2" customWidth="1"/>
    <col min="47" max="47" width="11.421875" style="2" customWidth="1"/>
    <col min="48" max="48" width="1.28515625" style="2" customWidth="1"/>
    <col min="49" max="49" width="0" style="2" hidden="1" customWidth="1"/>
    <col min="50" max="50" width="3.8515625" style="2" customWidth="1"/>
    <col min="51" max="51" width="32.00390625" style="2" customWidth="1"/>
    <col min="52" max="16384" width="9.140625" style="2" customWidth="1"/>
  </cols>
  <sheetData>
    <row r="1" spans="1:2" ht="18">
      <c r="A1" s="66" t="s">
        <v>132</v>
      </c>
      <c r="B1" s="65"/>
    </row>
    <row r="2" spans="1:49" ht="13.5" customHeight="1">
      <c r="A2" s="3"/>
      <c r="AW2" s="3" t="s">
        <v>57</v>
      </c>
    </row>
    <row r="3" spans="1:49" ht="18" customHeight="1">
      <c r="A3" s="3"/>
      <c r="E3" s="6"/>
      <c r="F3" s="6"/>
      <c r="G3" s="6"/>
      <c r="H3" s="6"/>
      <c r="I3" s="6"/>
      <c r="J3" s="6"/>
      <c r="K3" s="67"/>
      <c r="M3" s="5" t="s">
        <v>96</v>
      </c>
      <c r="N3" s="5"/>
      <c r="O3" s="5"/>
      <c r="P3" s="6"/>
      <c r="Q3" s="6" t="s">
        <v>342</v>
      </c>
      <c r="R3" s="6"/>
      <c r="S3" s="6"/>
      <c r="T3" s="6"/>
      <c r="U3" s="6"/>
      <c r="V3" s="6"/>
      <c r="W3" s="6"/>
      <c r="X3" s="6"/>
      <c r="Y3" s="6"/>
      <c r="Z3" s="6"/>
      <c r="AA3" s="6"/>
      <c r="AB3" s="6"/>
      <c r="AC3" s="6"/>
      <c r="AD3" s="6"/>
      <c r="AE3" s="6"/>
      <c r="AF3" s="6"/>
      <c r="AG3" s="6"/>
      <c r="AH3" s="6"/>
      <c r="AI3" s="6"/>
      <c r="AJ3" s="6"/>
      <c r="AK3" s="6"/>
      <c r="AL3" s="6"/>
      <c r="AM3" s="6"/>
      <c r="AN3" s="6"/>
      <c r="AO3" s="6"/>
      <c r="AP3" s="6"/>
      <c r="AS3" s="1043" t="s">
        <v>127</v>
      </c>
      <c r="AT3" s="1044"/>
      <c r="AU3" s="1044"/>
      <c r="AW3" s="3" t="s">
        <v>58</v>
      </c>
    </row>
    <row r="4" spans="9:41" ht="15">
      <c r="I4" s="7"/>
      <c r="M4" s="7"/>
      <c r="O4" s="7"/>
      <c r="Q4" s="7"/>
      <c r="S4" s="7"/>
      <c r="U4" s="7"/>
      <c r="W4" s="7"/>
      <c r="Y4" s="7"/>
      <c r="AA4" s="7"/>
      <c r="AC4" s="7"/>
      <c r="AE4" s="7"/>
      <c r="AG4" s="7"/>
      <c r="AI4" s="7"/>
      <c r="AK4" s="7"/>
      <c r="AM4" s="7"/>
      <c r="AO4" s="7"/>
    </row>
    <row r="5" spans="5:49" ht="105.75" customHeight="1">
      <c r="E5" s="8" t="s">
        <v>123</v>
      </c>
      <c r="F5" s="8"/>
      <c r="G5" s="8" t="s">
        <v>124</v>
      </c>
      <c r="I5" s="39" t="s">
        <v>60</v>
      </c>
      <c r="J5" s="9"/>
      <c r="K5" s="10" t="s">
        <v>125</v>
      </c>
      <c r="M5" s="45" t="s">
        <v>10</v>
      </c>
      <c r="N5" s="11" t="s">
        <v>1</v>
      </c>
      <c r="O5" s="45" t="s">
        <v>104</v>
      </c>
      <c r="P5" s="11" t="s">
        <v>71</v>
      </c>
      <c r="Q5" s="45" t="s">
        <v>63</v>
      </c>
      <c r="R5" s="11" t="s">
        <v>3</v>
      </c>
      <c r="S5" s="45" t="s">
        <v>2</v>
      </c>
      <c r="T5" s="11" t="s">
        <v>66</v>
      </c>
      <c r="U5" s="45" t="s">
        <v>126</v>
      </c>
      <c r="V5" s="11" t="s">
        <v>4</v>
      </c>
      <c r="W5" s="45" t="s">
        <v>27</v>
      </c>
      <c r="X5" s="11" t="s">
        <v>5</v>
      </c>
      <c r="Y5" s="45" t="s">
        <v>80</v>
      </c>
      <c r="Z5" s="11" t="s">
        <v>6</v>
      </c>
      <c r="AA5" s="45" t="s">
        <v>7</v>
      </c>
      <c r="AB5" s="11" t="s">
        <v>76</v>
      </c>
      <c r="AC5" s="45" t="s">
        <v>8</v>
      </c>
      <c r="AD5" s="11" t="s">
        <v>75</v>
      </c>
      <c r="AE5" s="45" t="s">
        <v>128</v>
      </c>
      <c r="AF5" s="11" t="s">
        <v>9</v>
      </c>
      <c r="AG5" s="45" t="s">
        <v>83</v>
      </c>
      <c r="AH5" s="11" t="s">
        <v>11</v>
      </c>
      <c r="AI5" s="45" t="s">
        <v>105</v>
      </c>
      <c r="AJ5" s="11" t="s">
        <v>12</v>
      </c>
      <c r="AK5" s="45" t="s">
        <v>85</v>
      </c>
      <c r="AL5" s="11" t="s">
        <v>87</v>
      </c>
      <c r="AM5" s="45" t="s">
        <v>13</v>
      </c>
      <c r="AN5" s="11"/>
      <c r="AO5" s="45" t="s">
        <v>118</v>
      </c>
      <c r="AP5" s="11" t="s">
        <v>119</v>
      </c>
      <c r="AQ5" s="9"/>
      <c r="AR5" s="9"/>
      <c r="AS5" s="11" t="s">
        <v>54</v>
      </c>
      <c r="AT5" s="11" t="s">
        <v>55</v>
      </c>
      <c r="AU5" s="11" t="s">
        <v>56</v>
      </c>
      <c r="AW5" s="9" t="s">
        <v>49</v>
      </c>
    </row>
    <row r="6" spans="9:47" ht="6" customHeight="1">
      <c r="I6" s="7"/>
      <c r="K6" s="9"/>
      <c r="M6" s="45"/>
      <c r="N6" s="11"/>
      <c r="O6" s="45"/>
      <c r="P6" s="11"/>
      <c r="Q6" s="45"/>
      <c r="R6" s="11"/>
      <c r="S6" s="45"/>
      <c r="T6" s="11"/>
      <c r="U6" s="45"/>
      <c r="V6" s="11"/>
      <c r="W6" s="45"/>
      <c r="X6" s="11"/>
      <c r="Y6" s="45"/>
      <c r="Z6" s="11"/>
      <c r="AA6" s="45"/>
      <c r="AB6" s="11"/>
      <c r="AC6" s="45"/>
      <c r="AD6" s="11"/>
      <c r="AE6" s="45"/>
      <c r="AF6" s="11"/>
      <c r="AG6" s="45"/>
      <c r="AH6" s="11"/>
      <c r="AI6" s="45"/>
      <c r="AJ6" s="11"/>
      <c r="AK6" s="45"/>
      <c r="AL6" s="11"/>
      <c r="AM6" s="57"/>
      <c r="AN6" s="10"/>
      <c r="AO6" s="45"/>
      <c r="AP6" s="11"/>
      <c r="AQ6" s="9"/>
      <c r="AR6" s="9"/>
      <c r="AS6" s="9"/>
      <c r="AT6" s="9"/>
      <c r="AU6" s="9"/>
    </row>
    <row r="7" spans="1:47" s="12" customFormat="1" ht="43.5" customHeight="1">
      <c r="A7" s="33"/>
      <c r="B7" s="33"/>
      <c r="C7" s="33"/>
      <c r="D7" s="33"/>
      <c r="E7" s="33"/>
      <c r="F7" s="33"/>
      <c r="G7" s="33"/>
      <c r="H7" s="33"/>
      <c r="I7" s="40"/>
      <c r="J7" s="33"/>
      <c r="K7" s="34" t="s">
        <v>59</v>
      </c>
      <c r="L7" s="34"/>
      <c r="M7" s="46" t="s">
        <v>82</v>
      </c>
      <c r="N7" s="34" t="s">
        <v>61</v>
      </c>
      <c r="O7" s="46" t="s">
        <v>102</v>
      </c>
      <c r="P7" s="34" t="s">
        <v>72</v>
      </c>
      <c r="Q7" s="46" t="s">
        <v>62</v>
      </c>
      <c r="R7" s="34" t="s">
        <v>64</v>
      </c>
      <c r="S7" s="46" t="s">
        <v>14</v>
      </c>
      <c r="T7" s="34" t="s">
        <v>65</v>
      </c>
      <c r="U7" s="46" t="s">
        <v>15</v>
      </c>
      <c r="V7" s="34" t="s">
        <v>67</v>
      </c>
      <c r="W7" s="46" t="s">
        <v>88</v>
      </c>
      <c r="X7" s="34" t="s">
        <v>68</v>
      </c>
      <c r="Y7" s="46" t="s">
        <v>78</v>
      </c>
      <c r="Z7" s="34" t="s">
        <v>69</v>
      </c>
      <c r="AA7" s="46" t="s">
        <v>70</v>
      </c>
      <c r="AB7" s="34" t="s">
        <v>74</v>
      </c>
      <c r="AC7" s="46" t="s">
        <v>77</v>
      </c>
      <c r="AD7" s="34" t="s">
        <v>73</v>
      </c>
      <c r="AE7" s="46" t="s">
        <v>79</v>
      </c>
      <c r="AF7" s="34" t="s">
        <v>16</v>
      </c>
      <c r="AG7" s="46" t="s">
        <v>81</v>
      </c>
      <c r="AH7" s="34" t="s">
        <v>93</v>
      </c>
      <c r="AI7" s="46" t="s">
        <v>103</v>
      </c>
      <c r="AJ7" s="34" t="s">
        <v>89</v>
      </c>
      <c r="AK7" s="46" t="s">
        <v>84</v>
      </c>
      <c r="AL7" s="34" t="s">
        <v>86</v>
      </c>
      <c r="AM7" s="46" t="s">
        <v>13</v>
      </c>
      <c r="AN7" s="34"/>
      <c r="AO7" s="46" t="s">
        <v>106</v>
      </c>
      <c r="AP7" s="34" t="s">
        <v>90</v>
      </c>
      <c r="AQ7" s="34"/>
      <c r="AR7" s="34"/>
      <c r="AS7" s="34" t="s">
        <v>59</v>
      </c>
      <c r="AT7" s="34" t="s">
        <v>51</v>
      </c>
      <c r="AU7" s="34" t="s">
        <v>13</v>
      </c>
    </row>
    <row r="8" spans="9:41" s="13" customFormat="1" ht="6" customHeight="1">
      <c r="I8" s="41"/>
      <c r="M8" s="41"/>
      <c r="O8" s="41"/>
      <c r="Q8" s="41"/>
      <c r="S8" s="41"/>
      <c r="U8" s="41"/>
      <c r="W8" s="41"/>
      <c r="Y8" s="41"/>
      <c r="AA8" s="41"/>
      <c r="AC8" s="41"/>
      <c r="AE8" s="41"/>
      <c r="AG8" s="41"/>
      <c r="AI8" s="41"/>
      <c r="AK8" s="41"/>
      <c r="AM8" s="41"/>
      <c r="AO8" s="41"/>
    </row>
    <row r="9" spans="1:41" ht="15" customHeight="1">
      <c r="A9" s="32" t="s">
        <v>29</v>
      </c>
      <c r="I9" s="7"/>
      <c r="M9" s="7"/>
      <c r="O9" s="7"/>
      <c r="Q9" s="7"/>
      <c r="S9" s="7"/>
      <c r="U9" s="7"/>
      <c r="W9" s="7"/>
      <c r="Y9" s="7"/>
      <c r="AA9" s="7"/>
      <c r="AC9" s="7"/>
      <c r="AE9" s="7"/>
      <c r="AG9" s="7"/>
      <c r="AI9" s="7"/>
      <c r="AK9" s="7"/>
      <c r="AM9" s="7"/>
      <c r="AO9" s="7"/>
    </row>
    <row r="10" spans="2:41" s="14" customFormat="1" ht="15.75">
      <c r="B10" s="1" t="s">
        <v>109</v>
      </c>
      <c r="I10" s="42"/>
      <c r="K10" s="15"/>
      <c r="M10" s="42"/>
      <c r="O10" s="42"/>
      <c r="Q10" s="42"/>
      <c r="S10" s="42"/>
      <c r="U10" s="42"/>
      <c r="W10" s="42"/>
      <c r="Y10" s="42"/>
      <c r="AA10" s="42"/>
      <c r="AC10" s="42"/>
      <c r="AE10" s="42"/>
      <c r="AG10" s="42"/>
      <c r="AI10" s="42"/>
      <c r="AK10" s="42"/>
      <c r="AM10" s="42"/>
      <c r="AO10" s="58"/>
    </row>
    <row r="11" spans="3:52" s="14" customFormat="1" ht="15">
      <c r="C11" s="14" t="s">
        <v>0</v>
      </c>
      <c r="E11" s="16">
        <v>2012</v>
      </c>
      <c r="F11" s="16"/>
      <c r="G11" s="16"/>
      <c r="I11" s="43" t="s">
        <v>98</v>
      </c>
      <c r="K11" s="17">
        <v>5.3136</v>
      </c>
      <c r="M11" s="82">
        <v>8.443018</v>
      </c>
      <c r="N11" s="18">
        <v>11.041266</v>
      </c>
      <c r="O11" s="47">
        <v>7.327224</v>
      </c>
      <c r="P11" s="18">
        <v>0.862011</v>
      </c>
      <c r="Q11" s="47">
        <v>10.505445</v>
      </c>
      <c r="R11" s="18">
        <v>81.843743</v>
      </c>
      <c r="S11" s="47">
        <v>5.580516</v>
      </c>
      <c r="T11" s="18">
        <v>1.339662</v>
      </c>
      <c r="U11" s="47">
        <v>11.290935</v>
      </c>
      <c r="V11" s="18">
        <v>46.196276</v>
      </c>
      <c r="W11" s="47">
        <v>5.401267</v>
      </c>
      <c r="X11" s="18">
        <v>63.460768</v>
      </c>
      <c r="Y11" s="47">
        <v>9.957731</v>
      </c>
      <c r="Z11" s="18">
        <v>4.582769</v>
      </c>
      <c r="AA11" s="47">
        <v>60.820764</v>
      </c>
      <c r="AB11" s="18">
        <v>3.007758</v>
      </c>
      <c r="AC11" s="47">
        <v>0.524853</v>
      </c>
      <c r="AD11" s="18">
        <v>2.041763</v>
      </c>
      <c r="AE11" s="47">
        <v>0.41611</v>
      </c>
      <c r="AF11" s="18">
        <v>16.730348</v>
      </c>
      <c r="AG11" s="47">
        <v>38.538447</v>
      </c>
      <c r="AH11" s="18">
        <v>10.54184</v>
      </c>
      <c r="AI11" s="47">
        <v>21.355849</v>
      </c>
      <c r="AJ11" s="18">
        <v>9.482855</v>
      </c>
      <c r="AK11" s="47">
        <v>2.055496</v>
      </c>
      <c r="AL11" s="18">
        <v>5.404322</v>
      </c>
      <c r="AM11" s="47">
        <v>62.98955</v>
      </c>
      <c r="AN11" s="19"/>
      <c r="AO11" s="52">
        <v>501.743</v>
      </c>
      <c r="AP11" s="17">
        <v>398.931</v>
      </c>
      <c r="AS11" s="17">
        <v>5.3136</v>
      </c>
      <c r="AT11" s="111">
        <v>61.8814</v>
      </c>
      <c r="AU11" s="1015">
        <v>63.705</v>
      </c>
      <c r="AW11" s="20">
        <v>-103.28693499999997</v>
      </c>
      <c r="AZ11" s="14">
        <f>RANK(K11,K11:AM11,1)</f>
        <v>9</v>
      </c>
    </row>
    <row r="12" spans="9:46" s="14" customFormat="1" ht="6" customHeight="1">
      <c r="I12" s="42"/>
      <c r="K12" s="15"/>
      <c r="M12" s="76"/>
      <c r="O12" s="42"/>
      <c r="Q12" s="42"/>
      <c r="S12" s="42"/>
      <c r="U12" s="42"/>
      <c r="W12" s="42"/>
      <c r="Y12" s="42"/>
      <c r="AA12" s="42"/>
      <c r="AC12" s="42"/>
      <c r="AE12" s="42"/>
      <c r="AG12" s="42"/>
      <c r="AI12" s="42"/>
      <c r="AK12" s="42"/>
      <c r="AM12" s="42"/>
      <c r="AO12" s="42"/>
      <c r="AS12" s="22"/>
      <c r="AT12" s="15"/>
    </row>
    <row r="13" spans="2:46" s="14" customFormat="1" ht="15.75">
      <c r="B13" s="1" t="s">
        <v>17</v>
      </c>
      <c r="I13" s="42"/>
      <c r="K13" s="15"/>
      <c r="L13" s="21"/>
      <c r="M13" s="76"/>
      <c r="O13" s="42"/>
      <c r="Q13" s="42"/>
      <c r="S13" s="42"/>
      <c r="U13" s="42"/>
      <c r="W13" s="42"/>
      <c r="Y13" s="42"/>
      <c r="AA13" s="42"/>
      <c r="AC13" s="42"/>
      <c r="AE13" s="42"/>
      <c r="AG13" s="42"/>
      <c r="AI13" s="42"/>
      <c r="AK13" s="42"/>
      <c r="AM13" s="42"/>
      <c r="AO13" s="42"/>
      <c r="AS13" s="22"/>
      <c r="AT13" s="15"/>
    </row>
    <row r="14" spans="3:49" s="14" customFormat="1" ht="15">
      <c r="C14" s="21" t="s">
        <v>18</v>
      </c>
      <c r="D14" s="21"/>
      <c r="E14" s="21"/>
      <c r="F14" s="21"/>
      <c r="G14" s="21"/>
      <c r="H14" s="21"/>
      <c r="I14" s="43" t="s">
        <v>98</v>
      </c>
      <c r="J14" s="21"/>
      <c r="K14" s="22">
        <v>77.958</v>
      </c>
      <c r="L14" s="21"/>
      <c r="M14" s="83">
        <v>83.879</v>
      </c>
      <c r="N14" s="23">
        <v>30.528</v>
      </c>
      <c r="O14" s="48">
        <v>111.002</v>
      </c>
      <c r="P14" s="23">
        <v>9.25</v>
      </c>
      <c r="Q14" s="48">
        <v>78.868</v>
      </c>
      <c r="R14" s="23">
        <v>357.104</v>
      </c>
      <c r="S14" s="48">
        <v>43.098</v>
      </c>
      <c r="T14" s="23">
        <v>45.227</v>
      </c>
      <c r="U14" s="48">
        <v>131.957</v>
      </c>
      <c r="V14" s="23">
        <v>505.997</v>
      </c>
      <c r="W14" s="48">
        <v>338.419</v>
      </c>
      <c r="X14" s="23">
        <v>543.965</v>
      </c>
      <c r="Y14" s="48">
        <v>93.03</v>
      </c>
      <c r="Z14" s="23">
        <v>70.282</v>
      </c>
      <c r="AA14" s="48">
        <v>301.336</v>
      </c>
      <c r="AB14" s="23">
        <v>65.3</v>
      </c>
      <c r="AC14" s="48">
        <v>2.586</v>
      </c>
      <c r="AD14" s="23">
        <v>64.559</v>
      </c>
      <c r="AE14" s="48">
        <v>0.316</v>
      </c>
      <c r="AF14" s="23">
        <v>41.526</v>
      </c>
      <c r="AG14" s="42">
        <v>312.685</v>
      </c>
      <c r="AH14" s="23">
        <v>92.09</v>
      </c>
      <c r="AI14" s="48">
        <v>238.391</v>
      </c>
      <c r="AJ14" s="23">
        <v>450.295</v>
      </c>
      <c r="AK14" s="48">
        <v>20.273</v>
      </c>
      <c r="AL14" s="23">
        <v>49.035</v>
      </c>
      <c r="AM14" s="48">
        <v>243.82</v>
      </c>
      <c r="AN14" s="20"/>
      <c r="AO14" s="58">
        <v>4324.817999999999</v>
      </c>
      <c r="AP14" s="22">
        <v>3236.8820000000005</v>
      </c>
      <c r="AS14" s="22">
        <v>77.958</v>
      </c>
      <c r="AT14" s="22">
        <v>228.972</v>
      </c>
      <c r="AU14" s="1033">
        <v>243.82</v>
      </c>
      <c r="AW14" s="20">
        <v>-1087.9990000000003</v>
      </c>
    </row>
    <row r="15" spans="9:46" s="14" customFormat="1" ht="6" customHeight="1">
      <c r="I15" s="42"/>
      <c r="K15" s="15"/>
      <c r="M15" s="76"/>
      <c r="O15" s="42"/>
      <c r="Q15" s="42"/>
      <c r="S15" s="42"/>
      <c r="U15" s="42"/>
      <c r="W15" s="42"/>
      <c r="Y15" s="42"/>
      <c r="AA15" s="42"/>
      <c r="AC15" s="42"/>
      <c r="AE15" s="42"/>
      <c r="AG15" s="42"/>
      <c r="AI15" s="42"/>
      <c r="AK15" s="42"/>
      <c r="AM15" s="42"/>
      <c r="AO15" s="42"/>
      <c r="AT15" s="15"/>
    </row>
    <row r="16" spans="2:46" s="14" customFormat="1" ht="15.75">
      <c r="B16" s="1" t="s">
        <v>110</v>
      </c>
      <c r="I16" s="42"/>
      <c r="K16" s="15"/>
      <c r="M16" s="76"/>
      <c r="O16" s="42"/>
      <c r="Q16" s="42"/>
      <c r="S16" s="42"/>
      <c r="U16" s="42"/>
      <c r="W16" s="42"/>
      <c r="Y16" s="42"/>
      <c r="AA16" s="42"/>
      <c r="AC16" s="42"/>
      <c r="AE16" s="42"/>
      <c r="AG16" s="42"/>
      <c r="AI16" s="42"/>
      <c r="AK16" s="42"/>
      <c r="AM16" s="42"/>
      <c r="AO16" s="42"/>
      <c r="AT16" s="15"/>
    </row>
    <row r="17" spans="3:52" s="14" customFormat="1" ht="15">
      <c r="C17" s="14" t="s">
        <v>19</v>
      </c>
      <c r="E17" s="14">
        <v>2012</v>
      </c>
      <c r="I17" s="44" t="s">
        <v>26</v>
      </c>
      <c r="K17" s="36">
        <f aca="true" t="shared" si="0" ref="K17:AM17">1000*K11/K14</f>
        <v>68.15977834218425</v>
      </c>
      <c r="M17" s="74">
        <f t="shared" si="0"/>
        <v>100.65711322261829</v>
      </c>
      <c r="N17" s="24">
        <f t="shared" si="0"/>
        <v>361.6766902515723</v>
      </c>
      <c r="O17" s="49">
        <f t="shared" si="0"/>
        <v>66.00983766058269</v>
      </c>
      <c r="P17" s="24">
        <f t="shared" si="0"/>
        <v>93.19037837837837</v>
      </c>
      <c r="Q17" s="49">
        <f t="shared" si="0"/>
        <v>133.20288329867628</v>
      </c>
      <c r="R17" s="24">
        <f t="shared" si="0"/>
        <v>229.18741599085982</v>
      </c>
      <c r="S17" s="49">
        <f t="shared" si="0"/>
        <v>129.4843380203258</v>
      </c>
      <c r="T17" s="24">
        <f t="shared" si="0"/>
        <v>29.620845954849976</v>
      </c>
      <c r="U17" s="49">
        <f t="shared" si="0"/>
        <v>85.56525989526891</v>
      </c>
      <c r="V17" s="24">
        <f t="shared" si="0"/>
        <v>91.29752943199267</v>
      </c>
      <c r="W17" s="49">
        <f t="shared" si="0"/>
        <v>15.960294782503347</v>
      </c>
      <c r="X17" s="24">
        <f t="shared" si="0"/>
        <v>116.6633294421516</v>
      </c>
      <c r="Y17" s="49">
        <f t="shared" si="0"/>
        <v>107.03784800601957</v>
      </c>
      <c r="Z17" s="24">
        <f t="shared" si="0"/>
        <v>65.20544378361458</v>
      </c>
      <c r="AA17" s="49">
        <f t="shared" si="0"/>
        <v>201.8370324156423</v>
      </c>
      <c r="AB17" s="24">
        <f t="shared" si="0"/>
        <v>46.060612557427255</v>
      </c>
      <c r="AC17" s="51">
        <f t="shared" si="0"/>
        <v>202.95939675174017</v>
      </c>
      <c r="AD17" s="24">
        <f t="shared" si="0"/>
        <v>31.62631081646246</v>
      </c>
      <c r="AE17" s="49">
        <f t="shared" si="0"/>
        <v>1316.8037974683543</v>
      </c>
      <c r="AF17" s="24">
        <f t="shared" si="0"/>
        <v>402.8885035881134</v>
      </c>
      <c r="AG17" s="49">
        <f t="shared" si="0"/>
        <v>123.25006636071446</v>
      </c>
      <c r="AH17" s="24">
        <f t="shared" si="0"/>
        <v>114.47323270713433</v>
      </c>
      <c r="AI17" s="49">
        <f t="shared" si="0"/>
        <v>89.58328544282293</v>
      </c>
      <c r="AJ17" s="24">
        <f t="shared" si="0"/>
        <v>21.05920563186356</v>
      </c>
      <c r="AK17" s="49">
        <f t="shared" si="0"/>
        <v>101.39081537019682</v>
      </c>
      <c r="AL17" s="24">
        <f t="shared" si="0"/>
        <v>110.21356174161312</v>
      </c>
      <c r="AM17" s="49">
        <f t="shared" si="0"/>
        <v>258.34447543269624</v>
      </c>
      <c r="AN17" s="24"/>
      <c r="AO17" s="49">
        <f>1000*AO11/AO14</f>
        <v>116.01482420763142</v>
      </c>
      <c r="AP17" s="24">
        <f>1000*AP11/AP14</f>
        <v>123.24545658445379</v>
      </c>
      <c r="AS17" s="24">
        <f>(AS11/AS14)*1000</f>
        <v>68.15977834218425</v>
      </c>
      <c r="AT17" s="36">
        <f>(AT11/AT14)*1000</f>
        <v>270.2574987334696</v>
      </c>
      <c r="AU17" s="24">
        <v>254.1604626483823</v>
      </c>
      <c r="AZ17" s="14">
        <f>RANK(K17,K17:AM17,1)</f>
        <v>8</v>
      </c>
    </row>
    <row r="18" spans="9:41" s="14" customFormat="1" ht="6" customHeight="1">
      <c r="I18" s="42"/>
      <c r="K18" s="15"/>
      <c r="M18" s="76"/>
      <c r="O18" s="42"/>
      <c r="Q18" s="42"/>
      <c r="S18" s="42"/>
      <c r="U18" s="42"/>
      <c r="W18" s="42"/>
      <c r="Y18" s="42"/>
      <c r="AA18" s="42"/>
      <c r="AC18" s="42"/>
      <c r="AE18" s="42"/>
      <c r="AG18" s="42"/>
      <c r="AI18" s="42"/>
      <c r="AK18" s="42"/>
      <c r="AM18" s="42"/>
      <c r="AO18" s="42"/>
    </row>
    <row r="19" spans="1:41" s="14" customFormat="1" ht="15.75">
      <c r="A19" s="1" t="s">
        <v>41</v>
      </c>
      <c r="I19" s="42"/>
      <c r="L19" s="15"/>
      <c r="M19" s="76"/>
      <c r="O19" s="42"/>
      <c r="Q19" s="42"/>
      <c r="S19" s="42"/>
      <c r="U19" s="42"/>
      <c r="W19" s="42"/>
      <c r="Y19" s="42"/>
      <c r="AA19" s="42"/>
      <c r="AC19" s="42"/>
      <c r="AE19" s="42"/>
      <c r="AG19" s="42"/>
      <c r="AI19" s="42"/>
      <c r="AK19" s="42"/>
      <c r="AM19" s="42"/>
      <c r="AO19" s="42"/>
    </row>
    <row r="20" spans="1:41" s="14" customFormat="1" ht="6" customHeight="1">
      <c r="A20" s="1"/>
      <c r="I20" s="42"/>
      <c r="K20" s="15"/>
      <c r="M20" s="76"/>
      <c r="O20" s="42"/>
      <c r="Q20" s="42"/>
      <c r="S20" s="42"/>
      <c r="U20" s="42"/>
      <c r="W20" s="42"/>
      <c r="Y20" s="42"/>
      <c r="AA20" s="42"/>
      <c r="AC20" s="42"/>
      <c r="AE20" s="42"/>
      <c r="AG20" s="42"/>
      <c r="AI20" s="42"/>
      <c r="AK20" s="42"/>
      <c r="AM20" s="42"/>
      <c r="AO20" s="42"/>
    </row>
    <row r="21" spans="2:41" s="14" customFormat="1" ht="15" customHeight="1">
      <c r="B21" s="1" t="s">
        <v>20</v>
      </c>
      <c r="I21" s="42"/>
      <c r="K21" s="15"/>
      <c r="M21" s="76"/>
      <c r="O21" s="42"/>
      <c r="Q21" s="42"/>
      <c r="S21" s="42"/>
      <c r="U21" s="42"/>
      <c r="W21" s="42"/>
      <c r="Y21" s="42"/>
      <c r="AA21" s="42"/>
      <c r="AC21" s="42"/>
      <c r="AE21" s="42"/>
      <c r="AG21" s="42"/>
      <c r="AI21" s="42"/>
      <c r="AK21" s="42"/>
      <c r="AM21" s="42"/>
      <c r="AO21" s="59"/>
    </row>
    <row r="22" spans="3:51" s="14" customFormat="1" ht="15.75">
      <c r="C22" s="617" t="s">
        <v>21</v>
      </c>
      <c r="D22" s="617"/>
      <c r="E22" s="617">
        <v>2010</v>
      </c>
      <c r="F22" s="617"/>
      <c r="G22" s="618"/>
      <c r="H22" s="617"/>
      <c r="I22" s="619" t="s">
        <v>134</v>
      </c>
      <c r="J22" s="551"/>
      <c r="K22" s="621">
        <v>406.6</v>
      </c>
      <c r="L22" s="551"/>
      <c r="M22" s="608">
        <v>1719</v>
      </c>
      <c r="N22" s="609">
        <v>1763</v>
      </c>
      <c r="O22" s="610">
        <v>437</v>
      </c>
      <c r="P22" s="609">
        <v>257</v>
      </c>
      <c r="Q22" s="610">
        <v>734</v>
      </c>
      <c r="R22" s="609">
        <v>12819</v>
      </c>
      <c r="S22" s="610">
        <v>1130</v>
      </c>
      <c r="T22" s="609">
        <v>115</v>
      </c>
      <c r="U22" s="610">
        <v>1191.3762114629465</v>
      </c>
      <c r="V22" s="609">
        <v>14262</v>
      </c>
      <c r="W22" s="610">
        <v>779</v>
      </c>
      <c r="X22" s="609">
        <v>11392</v>
      </c>
      <c r="Y22" s="610">
        <v>1477</v>
      </c>
      <c r="Z22" s="609">
        <v>900</v>
      </c>
      <c r="AA22" s="610">
        <v>6668</v>
      </c>
      <c r="AB22" s="609">
        <v>309</v>
      </c>
      <c r="AC22" s="610">
        <v>152</v>
      </c>
      <c r="AD22" s="611" t="s">
        <v>158</v>
      </c>
      <c r="AE22" s="612" t="s">
        <v>158</v>
      </c>
      <c r="AF22" s="609">
        <v>2651</v>
      </c>
      <c r="AG22" s="610">
        <v>857</v>
      </c>
      <c r="AH22" s="609">
        <v>2737</v>
      </c>
      <c r="AI22" s="610">
        <v>332</v>
      </c>
      <c r="AJ22" s="609">
        <v>1927</v>
      </c>
      <c r="AK22" s="610">
        <v>771</v>
      </c>
      <c r="AL22" s="609">
        <v>415.7</v>
      </c>
      <c r="AM22" s="610">
        <v>3673</v>
      </c>
      <c r="AN22" s="613"/>
      <c r="AO22" s="610">
        <v>69468.07621146295</v>
      </c>
      <c r="AP22" s="609">
        <v>63763.37621146295</v>
      </c>
      <c r="AQ22" s="551"/>
      <c r="AR22" s="551"/>
      <c r="AS22" s="1038">
        <f>K22</f>
        <v>406.6</v>
      </c>
      <c r="AT22" s="928">
        <v>3557.6</v>
      </c>
      <c r="AU22" s="1037">
        <f>AT22+114.2</f>
        <v>3671.7999999999997</v>
      </c>
      <c r="AW22" s="25">
        <v>-4483</v>
      </c>
      <c r="AY22" s="1047" t="s">
        <v>354</v>
      </c>
    </row>
    <row r="23" spans="3:52" s="14" customFormat="1" ht="15.75">
      <c r="C23" s="617" t="s">
        <v>48</v>
      </c>
      <c r="D23" s="617"/>
      <c r="E23" s="617">
        <v>2010</v>
      </c>
      <c r="F23" s="617"/>
      <c r="G23" s="618"/>
      <c r="H23" s="617"/>
      <c r="I23" s="620" t="s">
        <v>26</v>
      </c>
      <c r="J23" s="551"/>
      <c r="K23" s="615">
        <f>K22/K14</f>
        <v>5.215628928397343</v>
      </c>
      <c r="L23" s="553"/>
      <c r="M23" s="614">
        <f>M22/M14</f>
        <v>20.493806554679953</v>
      </c>
      <c r="N23" s="615">
        <f aca="true" t="shared" si="1" ref="N23:AM23">N22/N14</f>
        <v>57.75026205450734</v>
      </c>
      <c r="O23" s="616">
        <f t="shared" si="1"/>
        <v>3.936866002414371</v>
      </c>
      <c r="P23" s="615">
        <f t="shared" si="1"/>
        <v>27.783783783783782</v>
      </c>
      <c r="Q23" s="616">
        <f t="shared" si="1"/>
        <v>9.306689658670184</v>
      </c>
      <c r="R23" s="615">
        <f t="shared" si="1"/>
        <v>35.897105605089834</v>
      </c>
      <c r="S23" s="616">
        <f t="shared" si="1"/>
        <v>26.219314121304933</v>
      </c>
      <c r="T23" s="615">
        <f t="shared" si="1"/>
        <v>2.5427289008777945</v>
      </c>
      <c r="U23" s="616">
        <f t="shared" si="1"/>
        <v>9.028518467856548</v>
      </c>
      <c r="V23" s="615">
        <f t="shared" si="1"/>
        <v>28.185937861291666</v>
      </c>
      <c r="W23" s="616">
        <f t="shared" si="1"/>
        <v>2.3018802135813887</v>
      </c>
      <c r="X23" s="615">
        <f t="shared" si="1"/>
        <v>20.942523875616995</v>
      </c>
      <c r="Y23" s="616">
        <f t="shared" si="1"/>
        <v>15.876598946576372</v>
      </c>
      <c r="Z23" s="615">
        <f t="shared" si="1"/>
        <v>12.805554765089212</v>
      </c>
      <c r="AA23" s="616">
        <f t="shared" si="1"/>
        <v>22.128122759975575</v>
      </c>
      <c r="AB23" s="615">
        <f t="shared" si="1"/>
        <v>4.732006125574273</v>
      </c>
      <c r="AC23" s="616">
        <f t="shared" si="1"/>
        <v>58.778035576179434</v>
      </c>
      <c r="AD23" s="611" t="s">
        <v>158</v>
      </c>
      <c r="AE23" s="612" t="s">
        <v>158</v>
      </c>
      <c r="AF23" s="615">
        <f t="shared" si="1"/>
        <v>63.83952222703848</v>
      </c>
      <c r="AG23" s="616">
        <f t="shared" si="1"/>
        <v>2.7407774597438315</v>
      </c>
      <c r="AH23" s="615">
        <f t="shared" si="1"/>
        <v>29.72092518188728</v>
      </c>
      <c r="AI23" s="616">
        <f t="shared" si="1"/>
        <v>1.3926700252945792</v>
      </c>
      <c r="AJ23" s="615">
        <f t="shared" si="1"/>
        <v>4.27941682674691</v>
      </c>
      <c r="AK23" s="616">
        <f t="shared" si="1"/>
        <v>38.03087850836087</v>
      </c>
      <c r="AL23" s="615">
        <f t="shared" si="1"/>
        <v>8.477618027939227</v>
      </c>
      <c r="AM23" s="616">
        <f t="shared" si="1"/>
        <v>15.064391764416373</v>
      </c>
      <c r="AN23" s="615"/>
      <c r="AO23" s="616">
        <f>AO22/AO14</f>
        <v>16.062658870607493</v>
      </c>
      <c r="AP23" s="615">
        <f>AP22/AP14</f>
        <v>19.699011644991366</v>
      </c>
      <c r="AQ23" s="553"/>
      <c r="AR23" s="553"/>
      <c r="AS23" s="648">
        <f>K23</f>
        <v>5.215628928397343</v>
      </c>
      <c r="AT23" s="22">
        <f>AT22/AT14</f>
        <v>15.53727093269046</v>
      </c>
      <c r="AU23" s="22">
        <f>AU22/AU14</f>
        <v>15.059470100894101</v>
      </c>
      <c r="AY23" s="1047"/>
      <c r="AZ23" s="14">
        <f>RANK(K23,K23:AM23,1)</f>
        <v>8</v>
      </c>
    </row>
    <row r="24" spans="9:51" s="14" customFormat="1" ht="6" customHeight="1">
      <c r="I24" s="42"/>
      <c r="K24" s="15"/>
      <c r="M24" s="76"/>
      <c r="O24" s="42"/>
      <c r="Q24" s="42"/>
      <c r="S24" s="42"/>
      <c r="U24" s="42"/>
      <c r="W24" s="42"/>
      <c r="Y24" s="42"/>
      <c r="AA24" s="42"/>
      <c r="AC24" s="42"/>
      <c r="AE24" s="42"/>
      <c r="AG24" s="42"/>
      <c r="AI24" s="42"/>
      <c r="AK24" s="42"/>
      <c r="AM24" s="42"/>
      <c r="AO24" s="42"/>
      <c r="AY24" s="1047"/>
    </row>
    <row r="25" spans="2:51" s="14" customFormat="1" ht="15.75">
      <c r="B25" s="1" t="s">
        <v>111</v>
      </c>
      <c r="I25" s="42"/>
      <c r="K25" s="15"/>
      <c r="M25" s="76"/>
      <c r="O25" s="42"/>
      <c r="Q25" s="42"/>
      <c r="S25" s="42"/>
      <c r="U25" s="42"/>
      <c r="W25" s="42"/>
      <c r="Y25" s="42"/>
      <c r="AA25" s="42"/>
      <c r="AC25" s="42"/>
      <c r="AE25" s="42"/>
      <c r="AG25" s="42"/>
      <c r="AI25" s="42"/>
      <c r="AK25" s="42"/>
      <c r="AM25" s="42"/>
      <c r="AO25" s="42"/>
      <c r="AY25" s="1047"/>
    </row>
    <row r="26" spans="1:66" s="650" customFormat="1" ht="27" customHeight="1">
      <c r="A26" s="617"/>
      <c r="B26" s="617"/>
      <c r="C26" s="646" t="s">
        <v>52</v>
      </c>
      <c r="D26" s="617"/>
      <c r="E26" s="617">
        <v>2010</v>
      </c>
      <c r="F26" s="617"/>
      <c r="G26" s="1046" t="s">
        <v>343</v>
      </c>
      <c r="H26" s="617"/>
      <c r="I26" s="619" t="s">
        <v>135</v>
      </c>
      <c r="J26" s="617"/>
      <c r="K26" s="647">
        <v>28.6</v>
      </c>
      <c r="L26" s="617"/>
      <c r="M26" s="614">
        <v>35.841495</v>
      </c>
      <c r="N26" s="615">
        <v>16.341</v>
      </c>
      <c r="O26" s="616">
        <v>7.437</v>
      </c>
      <c r="P26" s="615">
        <v>5.196</v>
      </c>
      <c r="Q26" s="616">
        <v>55.722</v>
      </c>
      <c r="R26" s="615">
        <v>230.782</v>
      </c>
      <c r="S26" s="616">
        <v>74.171</v>
      </c>
      <c r="T26" s="615">
        <v>16.558</v>
      </c>
      <c r="U26" s="616">
        <v>41.35437621146295</v>
      </c>
      <c r="V26" s="615">
        <v>165.787</v>
      </c>
      <c r="W26" s="616">
        <v>26.903</v>
      </c>
      <c r="X26" s="615">
        <v>398.915</v>
      </c>
      <c r="Y26" s="616">
        <v>31.628</v>
      </c>
      <c r="Z26" s="615">
        <v>17.311</v>
      </c>
      <c r="AA26" s="616">
        <v>186.419</v>
      </c>
      <c r="AB26" s="615">
        <v>21.266</v>
      </c>
      <c r="AC26" s="616">
        <v>2.88</v>
      </c>
      <c r="AD26" s="615">
        <v>6.969</v>
      </c>
      <c r="AE26" s="616">
        <v>0.849</v>
      </c>
      <c r="AF26" s="615">
        <v>12.984</v>
      </c>
      <c r="AG26" s="616">
        <v>173.2419</v>
      </c>
      <c r="AH26" s="615">
        <v>13.123</v>
      </c>
      <c r="AI26" s="616">
        <v>51.773</v>
      </c>
      <c r="AJ26" s="615">
        <v>98.465</v>
      </c>
      <c r="AK26" s="616">
        <v>6.7311</v>
      </c>
      <c r="AL26" s="615">
        <v>17.974283</v>
      </c>
      <c r="AM26" s="616">
        <v>175.317</v>
      </c>
      <c r="AN26" s="648"/>
      <c r="AO26" s="649">
        <v>1891.9391542114624</v>
      </c>
      <c r="AP26" s="621">
        <v>1496.5938712114628</v>
      </c>
      <c r="AQ26" s="617"/>
      <c r="AR26" s="617"/>
      <c r="AS26" s="647">
        <v>28.6</v>
      </c>
      <c r="AT26" s="648">
        <v>165.3</v>
      </c>
      <c r="AU26" s="648">
        <f>AT26+9.9776</f>
        <v>175.2776</v>
      </c>
      <c r="AV26" s="617"/>
      <c r="AW26" s="648">
        <v>-980.7930000000001</v>
      </c>
      <c r="AX26" s="617"/>
      <c r="AY26" s="1047"/>
      <c r="AZ26" s="617"/>
      <c r="BA26" s="617"/>
      <c r="BB26" s="617"/>
      <c r="BC26" s="617"/>
      <c r="BD26" s="617"/>
      <c r="BE26" s="617"/>
      <c r="BF26" s="617"/>
      <c r="BG26" s="617"/>
      <c r="BH26" s="617"/>
      <c r="BI26" s="617"/>
      <c r="BJ26" s="617"/>
      <c r="BK26" s="617"/>
      <c r="BL26" s="617"/>
      <c r="BM26" s="617"/>
      <c r="BN26" s="617"/>
    </row>
    <row r="27" spans="3:52" s="617" customFormat="1" ht="15">
      <c r="C27" s="617" t="s">
        <v>48</v>
      </c>
      <c r="E27" s="617">
        <v>2010</v>
      </c>
      <c r="G27" s="1046"/>
      <c r="I27" s="620" t="s">
        <v>26</v>
      </c>
      <c r="K27" s="613">
        <f>1000*K26/K14</f>
        <v>366.8642089330152</v>
      </c>
      <c r="L27" s="613"/>
      <c r="M27" s="651">
        <f>1000*M26/M14</f>
        <v>427.2999797327102</v>
      </c>
      <c r="N27" s="613">
        <f aca="true" t="shared" si="2" ref="N27:AM27">1000*N26/N14</f>
        <v>535.2790880503145</v>
      </c>
      <c r="O27" s="652">
        <f t="shared" si="2"/>
        <v>66.99879281454389</v>
      </c>
      <c r="P27" s="613">
        <f t="shared" si="2"/>
        <v>561.7297297297297</v>
      </c>
      <c r="Q27" s="652">
        <f t="shared" si="2"/>
        <v>706.5222904092915</v>
      </c>
      <c r="R27" s="613">
        <f t="shared" si="2"/>
        <v>646.2599130785429</v>
      </c>
      <c r="S27" s="652">
        <f t="shared" si="2"/>
        <v>1720.9847324701843</v>
      </c>
      <c r="T27" s="613">
        <f t="shared" si="2"/>
        <v>366.10874035421324</v>
      </c>
      <c r="U27" s="652">
        <f t="shared" si="2"/>
        <v>313.3928189596835</v>
      </c>
      <c r="V27" s="613">
        <f t="shared" si="2"/>
        <v>327.6442350448718</v>
      </c>
      <c r="W27" s="652">
        <f t="shared" si="2"/>
        <v>79.49612758148922</v>
      </c>
      <c r="X27" s="613">
        <f t="shared" si="2"/>
        <v>733.3468145928506</v>
      </c>
      <c r="Y27" s="652">
        <f t="shared" si="2"/>
        <v>339.9763517145007</v>
      </c>
      <c r="Z27" s="613">
        <f t="shared" si="2"/>
        <v>246.3077317093993</v>
      </c>
      <c r="AA27" s="652">
        <f t="shared" si="2"/>
        <v>618.6416491889452</v>
      </c>
      <c r="AB27" s="613">
        <f t="shared" si="2"/>
        <v>325.66615620214395</v>
      </c>
      <c r="AC27" s="652">
        <f t="shared" si="2"/>
        <v>1113.6890951276102</v>
      </c>
      <c r="AD27" s="613">
        <f t="shared" si="2"/>
        <v>107.94776870769374</v>
      </c>
      <c r="AE27" s="652">
        <f t="shared" si="2"/>
        <v>2686.7088607594937</v>
      </c>
      <c r="AF27" s="613">
        <f t="shared" si="2"/>
        <v>312.6715792515532</v>
      </c>
      <c r="AG27" s="652">
        <f t="shared" si="2"/>
        <v>554.0460847178471</v>
      </c>
      <c r="AH27" s="613">
        <f t="shared" si="2"/>
        <v>142.50190031490934</v>
      </c>
      <c r="AI27" s="652">
        <f t="shared" si="2"/>
        <v>217.17682295053086</v>
      </c>
      <c r="AJ27" s="613">
        <f t="shared" si="2"/>
        <v>218.66776224475066</v>
      </c>
      <c r="AK27" s="652">
        <f t="shared" si="2"/>
        <v>332.02288758447196</v>
      </c>
      <c r="AL27" s="613">
        <f t="shared" si="2"/>
        <v>366.5602732741919</v>
      </c>
      <c r="AM27" s="652">
        <f t="shared" si="2"/>
        <v>719.0427364449184</v>
      </c>
      <c r="AN27" s="613"/>
      <c r="AO27" s="652">
        <f>1000*AO26/AO14</f>
        <v>437.46098777138434</v>
      </c>
      <c r="AP27" s="613">
        <f>1000*AP26/AP14</f>
        <v>462.3566355559031</v>
      </c>
      <c r="AQ27" s="613"/>
      <c r="AR27" s="613"/>
      <c r="AS27" s="613">
        <f>K27</f>
        <v>366.8642089330152</v>
      </c>
      <c r="AT27" s="613">
        <f>1000*AT26/AT14</f>
        <v>721.9223311147214</v>
      </c>
      <c r="AU27" s="613">
        <f>1000*AU26/AU14</f>
        <v>718.8811418259372</v>
      </c>
      <c r="AY27" s="1047"/>
      <c r="AZ27" s="617">
        <f>RANK(K27,K27:AM27,1)</f>
        <v>16</v>
      </c>
    </row>
    <row r="28" spans="9:46" s="14" customFormat="1" ht="6" customHeight="1">
      <c r="I28" s="42"/>
      <c r="K28" s="15"/>
      <c r="M28" s="76"/>
      <c r="O28" s="42"/>
      <c r="Q28" s="42"/>
      <c r="S28" s="42"/>
      <c r="U28" s="42"/>
      <c r="W28" s="42"/>
      <c r="Y28" s="42"/>
      <c r="AA28" s="42"/>
      <c r="AC28" s="42"/>
      <c r="AE28" s="42"/>
      <c r="AG28" s="42"/>
      <c r="AI28" s="42"/>
      <c r="AK28" s="42"/>
      <c r="AM28" s="42"/>
      <c r="AO28" s="42"/>
      <c r="AT28" s="15"/>
    </row>
    <row r="29" spans="2:51" s="14" customFormat="1" ht="15.75">
      <c r="B29" s="1" t="s">
        <v>22</v>
      </c>
      <c r="I29" s="42"/>
      <c r="K29" s="15"/>
      <c r="M29" s="76"/>
      <c r="O29" s="42"/>
      <c r="Q29" s="42"/>
      <c r="S29" s="42"/>
      <c r="U29" s="42"/>
      <c r="W29" s="42"/>
      <c r="Y29" s="42"/>
      <c r="AA29" s="42"/>
      <c r="AC29" s="42"/>
      <c r="AE29" s="42"/>
      <c r="AG29" s="42"/>
      <c r="AI29" s="42"/>
      <c r="AK29" s="42"/>
      <c r="AM29" s="42"/>
      <c r="AO29" s="42"/>
      <c r="AT29" s="15"/>
      <c r="AY29" s="1041" t="s">
        <v>349</v>
      </c>
    </row>
    <row r="30" spans="3:51" s="14" customFormat="1" ht="15">
      <c r="C30" s="14" t="s">
        <v>21</v>
      </c>
      <c r="E30" s="14">
        <v>2011</v>
      </c>
      <c r="I30" s="42" t="s">
        <v>136</v>
      </c>
      <c r="J30" s="551"/>
      <c r="K30" s="928">
        <v>2763</v>
      </c>
      <c r="L30" s="551"/>
      <c r="M30" s="84">
        <v>5021</v>
      </c>
      <c r="N30" s="25">
        <v>3557.6666666666665</v>
      </c>
      <c r="O30" s="51">
        <v>3947</v>
      </c>
      <c r="P30" s="36" t="s">
        <v>158</v>
      </c>
      <c r="Q30" s="51">
        <v>9470</v>
      </c>
      <c r="R30" s="25">
        <v>33576</v>
      </c>
      <c r="S30" s="51">
        <v>2629</v>
      </c>
      <c r="T30" s="25">
        <v>792</v>
      </c>
      <c r="U30" s="51">
        <v>2554</v>
      </c>
      <c r="V30" s="25">
        <v>15932</v>
      </c>
      <c r="W30" s="51">
        <v>5944</v>
      </c>
      <c r="X30" s="25">
        <v>30884</v>
      </c>
      <c r="Y30" s="51">
        <v>7906</v>
      </c>
      <c r="Z30" s="25">
        <v>1919</v>
      </c>
      <c r="AA30" s="51">
        <v>17045</v>
      </c>
      <c r="AB30" s="25">
        <v>1767</v>
      </c>
      <c r="AC30" s="51">
        <v>275</v>
      </c>
      <c r="AD30" s="25">
        <v>1865</v>
      </c>
      <c r="AE30" s="81" t="s">
        <v>158</v>
      </c>
      <c r="AF30" s="25">
        <v>3016</v>
      </c>
      <c r="AG30" s="51">
        <v>19725</v>
      </c>
      <c r="AH30" s="25">
        <v>2793</v>
      </c>
      <c r="AI30" s="51">
        <v>10777</v>
      </c>
      <c r="AJ30" s="25">
        <v>11212.82</v>
      </c>
      <c r="AK30" s="51">
        <v>1209</v>
      </c>
      <c r="AL30" s="25">
        <v>3624</v>
      </c>
      <c r="AM30" s="51">
        <v>16134</v>
      </c>
      <c r="AN30" s="25"/>
      <c r="AO30" s="51">
        <v>213574.48666666666</v>
      </c>
      <c r="AP30" s="25">
        <v>152492.48666666666</v>
      </c>
      <c r="AQ30" s="555"/>
      <c r="AR30" s="555"/>
      <c r="AS30" s="25">
        <v>2763</v>
      </c>
      <c r="AT30" s="25">
        <v>15742</v>
      </c>
      <c r="AU30" s="928">
        <f>AT30+(211*1.61)</f>
        <v>16081.71</v>
      </c>
      <c r="AW30" s="25">
        <v>-61723</v>
      </c>
      <c r="AY30" s="1041"/>
    </row>
    <row r="31" spans="3:52" s="14" customFormat="1" ht="15">
      <c r="C31" s="14" t="s">
        <v>48</v>
      </c>
      <c r="E31" s="14">
        <v>2011</v>
      </c>
      <c r="I31" s="44" t="s">
        <v>26</v>
      </c>
      <c r="K31" s="22">
        <f>K30/K14</f>
        <v>35.44216116370353</v>
      </c>
      <c r="L31" s="22"/>
      <c r="M31" s="75">
        <f>M30/M14</f>
        <v>59.86003648112161</v>
      </c>
      <c r="N31" s="22">
        <f aca="true" t="shared" si="3" ref="N31:AM31">N30/N14</f>
        <v>116.53782320055905</v>
      </c>
      <c r="O31" s="50">
        <f t="shared" si="3"/>
        <v>35.557917875353596</v>
      </c>
      <c r="P31" s="36" t="s">
        <v>158</v>
      </c>
      <c r="Q31" s="50">
        <f t="shared" si="3"/>
        <v>120.07404777603084</v>
      </c>
      <c r="R31" s="22">
        <f t="shared" si="3"/>
        <v>94.02302970563197</v>
      </c>
      <c r="S31" s="50">
        <f t="shared" si="3"/>
        <v>61.00051046452272</v>
      </c>
      <c r="T31" s="22">
        <f t="shared" si="3"/>
        <v>17.511663386914897</v>
      </c>
      <c r="U31" s="50">
        <f t="shared" si="3"/>
        <v>19.354789817895224</v>
      </c>
      <c r="V31" s="22">
        <f t="shared" si="3"/>
        <v>31.48635268588549</v>
      </c>
      <c r="W31" s="50">
        <f t="shared" si="3"/>
        <v>17.564025660497787</v>
      </c>
      <c r="X31" s="22">
        <f t="shared" si="3"/>
        <v>56.775711672625995</v>
      </c>
      <c r="Y31" s="50">
        <f t="shared" si="3"/>
        <v>84.98333870794367</v>
      </c>
      <c r="Z31" s="22">
        <f t="shared" si="3"/>
        <v>27.30428843800689</v>
      </c>
      <c r="AA31" s="50">
        <f t="shared" si="3"/>
        <v>56.56476491358483</v>
      </c>
      <c r="AB31" s="22">
        <f t="shared" si="3"/>
        <v>27.059724349157733</v>
      </c>
      <c r="AC31" s="50">
        <f t="shared" si="3"/>
        <v>106.34184068058778</v>
      </c>
      <c r="AD31" s="22">
        <f t="shared" si="3"/>
        <v>28.888303722176616</v>
      </c>
      <c r="AE31" s="81" t="s">
        <v>158</v>
      </c>
      <c r="AF31" s="22">
        <f t="shared" si="3"/>
        <v>72.62919616625727</v>
      </c>
      <c r="AG31" s="50">
        <f t="shared" si="3"/>
        <v>63.08265506819963</v>
      </c>
      <c r="AH31" s="22">
        <f t="shared" si="3"/>
        <v>30.32902595287219</v>
      </c>
      <c r="AI31" s="50">
        <f t="shared" si="3"/>
        <v>45.207243562047225</v>
      </c>
      <c r="AJ31" s="22">
        <f t="shared" si="3"/>
        <v>24.901053753650384</v>
      </c>
      <c r="AK31" s="50">
        <f t="shared" si="3"/>
        <v>59.63596902283826</v>
      </c>
      <c r="AL31" s="22">
        <f t="shared" si="3"/>
        <v>73.90639339247477</v>
      </c>
      <c r="AM31" s="50">
        <f t="shared" si="3"/>
        <v>66.17176605692724</v>
      </c>
      <c r="AN31" s="22"/>
      <c r="AO31" s="50">
        <f>AO30/AO14</f>
        <v>49.38346230215161</v>
      </c>
      <c r="AP31" s="22">
        <f>AP30/AP14</f>
        <v>47.11091929414376</v>
      </c>
      <c r="AQ31" s="22"/>
      <c r="AR31" s="22"/>
      <c r="AS31" s="20">
        <v>35.4</v>
      </c>
      <c r="AT31" s="22">
        <f>AT30/AT14</f>
        <v>68.7507642855895</v>
      </c>
      <c r="AU31" s="22">
        <f>AU30/AU14</f>
        <v>65.9573045689443</v>
      </c>
      <c r="AY31" s="1041"/>
      <c r="AZ31" s="14">
        <f>RANK(K31,K31:AM31,1)</f>
        <v>10</v>
      </c>
    </row>
    <row r="32" spans="9:46" s="14" customFormat="1" ht="6" customHeight="1">
      <c r="I32" s="42"/>
      <c r="K32" s="15"/>
      <c r="M32" s="76"/>
      <c r="O32" s="42"/>
      <c r="Q32" s="42"/>
      <c r="S32" s="42"/>
      <c r="U32" s="42"/>
      <c r="W32" s="42"/>
      <c r="Y32" s="42"/>
      <c r="AA32" s="42"/>
      <c r="AC32" s="42"/>
      <c r="AE32" s="42"/>
      <c r="AG32" s="42"/>
      <c r="AI32" s="42"/>
      <c r="AK32" s="42"/>
      <c r="AM32" s="42"/>
      <c r="AO32" s="42"/>
      <c r="AT32" s="15"/>
    </row>
    <row r="33" spans="2:51" s="14" customFormat="1" ht="15.75">
      <c r="B33" s="1" t="s">
        <v>23</v>
      </c>
      <c r="I33" s="42"/>
      <c r="K33" s="15"/>
      <c r="M33" s="76"/>
      <c r="O33" s="42"/>
      <c r="Q33" s="42"/>
      <c r="S33" s="42"/>
      <c r="U33" s="42"/>
      <c r="W33" s="42"/>
      <c r="Y33" s="42"/>
      <c r="AA33" s="42"/>
      <c r="AC33" s="42"/>
      <c r="AE33" s="42"/>
      <c r="AG33" s="42"/>
      <c r="AI33" s="42"/>
      <c r="AK33" s="42"/>
      <c r="AM33" s="42"/>
      <c r="AO33" s="42"/>
      <c r="AT33" s="15"/>
      <c r="AY33" s="1047" t="s">
        <v>350</v>
      </c>
    </row>
    <row r="34" spans="3:51" s="14" customFormat="1" ht="15">
      <c r="C34" s="14" t="s">
        <v>0</v>
      </c>
      <c r="E34" s="14">
        <v>2011</v>
      </c>
      <c r="G34" s="21"/>
      <c r="I34" s="42" t="s">
        <v>137</v>
      </c>
      <c r="K34" s="17">
        <v>2.26</v>
      </c>
      <c r="M34" s="73">
        <v>4.513421</v>
      </c>
      <c r="N34" s="17">
        <v>5.407</v>
      </c>
      <c r="O34" s="52">
        <v>2.695</v>
      </c>
      <c r="P34" s="17">
        <v>0.47</v>
      </c>
      <c r="Q34" s="52">
        <v>4.5816419999999995</v>
      </c>
      <c r="R34" s="17">
        <v>42.928</v>
      </c>
      <c r="S34" s="52">
        <v>2.1978310000000003</v>
      </c>
      <c r="T34" s="17">
        <v>0.574</v>
      </c>
      <c r="U34" s="52">
        <v>5.203591</v>
      </c>
      <c r="V34" s="17">
        <v>22.277</v>
      </c>
      <c r="W34" s="52">
        <v>2.978</v>
      </c>
      <c r="X34" s="17">
        <v>31.875544134087242</v>
      </c>
      <c r="Y34" s="52">
        <v>2.967808</v>
      </c>
      <c r="Z34" s="17">
        <v>1.912939</v>
      </c>
      <c r="AA34" s="52">
        <v>37.113</v>
      </c>
      <c r="AB34" s="17">
        <v>1.7133</v>
      </c>
      <c r="AC34" s="52">
        <v>0.345575</v>
      </c>
      <c r="AD34" s="17">
        <v>0.6123200000000001</v>
      </c>
      <c r="AE34" s="52">
        <v>0.24526</v>
      </c>
      <c r="AF34" s="17">
        <v>7.859</v>
      </c>
      <c r="AG34" s="52">
        <v>18.125</v>
      </c>
      <c r="AH34" s="17">
        <v>4.712</v>
      </c>
      <c r="AI34" s="52">
        <v>4.334547</v>
      </c>
      <c r="AJ34" s="17">
        <v>4.401352</v>
      </c>
      <c r="AK34" s="52">
        <v>1.06649</v>
      </c>
      <c r="AL34" s="17">
        <v>1.7492999999999999</v>
      </c>
      <c r="AM34" s="52">
        <v>29.382213999999998</v>
      </c>
      <c r="AN34" s="17"/>
      <c r="AO34" s="52">
        <v>242.24113413408725</v>
      </c>
      <c r="AP34" s="17">
        <v>203.1064671340873</v>
      </c>
      <c r="AQ34" s="551"/>
      <c r="AR34" s="551"/>
      <c r="AS34" s="19">
        <v>2.26</v>
      </c>
      <c r="AT34" s="1036">
        <v>27.0396</v>
      </c>
      <c r="AU34" s="205">
        <f>AT34+0.870439</f>
        <v>27.910039</v>
      </c>
      <c r="AW34" s="20">
        <v>-36.08399999999992</v>
      </c>
      <c r="AY34" s="1048"/>
    </row>
    <row r="35" spans="3:52" s="14" customFormat="1" ht="15">
      <c r="C35" s="14" t="s">
        <v>40</v>
      </c>
      <c r="E35" s="14">
        <v>2011</v>
      </c>
      <c r="G35" s="21"/>
      <c r="I35" s="44" t="s">
        <v>26</v>
      </c>
      <c r="K35" s="26">
        <f>K34/5.194*1000</f>
        <v>435.11744320369655</v>
      </c>
      <c r="M35" s="85">
        <f>M34/M11*1000</f>
        <v>534.5743666541988</v>
      </c>
      <c r="N35" s="27">
        <f aca="true" t="shared" si="4" ref="N35:AP35">N34/N11*1000</f>
        <v>489.708335982486</v>
      </c>
      <c r="O35" s="53">
        <f t="shared" si="4"/>
        <v>367.80641618162616</v>
      </c>
      <c r="P35" s="27">
        <f t="shared" si="4"/>
        <v>545.2366617131336</v>
      </c>
      <c r="Q35" s="53">
        <f>Q34/Q11*1000</f>
        <v>436.12069740977176</v>
      </c>
      <c r="R35" s="27">
        <f t="shared" si="4"/>
        <v>524.5116905271549</v>
      </c>
      <c r="S35" s="53">
        <f t="shared" si="4"/>
        <v>393.8401036750007</v>
      </c>
      <c r="T35" s="27">
        <f t="shared" si="4"/>
        <v>428.46628477929505</v>
      </c>
      <c r="U35" s="53">
        <f t="shared" si="4"/>
        <v>460.8644899647373</v>
      </c>
      <c r="V35" s="27">
        <f t="shared" si="4"/>
        <v>482.2250174451292</v>
      </c>
      <c r="W35" s="53">
        <f t="shared" si="4"/>
        <v>551.3521179382542</v>
      </c>
      <c r="X35" s="27">
        <f t="shared" si="4"/>
        <v>502.28739958027677</v>
      </c>
      <c r="Y35" s="53">
        <f t="shared" si="4"/>
        <v>298.04058776040443</v>
      </c>
      <c r="Z35" s="27">
        <f t="shared" si="4"/>
        <v>417.41990486537725</v>
      </c>
      <c r="AA35" s="53">
        <f t="shared" si="4"/>
        <v>610.2027919280988</v>
      </c>
      <c r="AB35" s="27">
        <f t="shared" si="4"/>
        <v>569.6269447209517</v>
      </c>
      <c r="AC35" s="53">
        <f t="shared" si="4"/>
        <v>658.4224535250823</v>
      </c>
      <c r="AD35" s="27">
        <f t="shared" si="4"/>
        <v>299.8976864601818</v>
      </c>
      <c r="AE35" s="53">
        <f t="shared" si="4"/>
        <v>589.4114537021461</v>
      </c>
      <c r="AF35" s="27">
        <f t="shared" si="4"/>
        <v>469.7451601126289</v>
      </c>
      <c r="AG35" s="53">
        <f t="shared" si="4"/>
        <v>470.30955865969383</v>
      </c>
      <c r="AH35" s="27">
        <f t="shared" si="4"/>
        <v>446.98079272688636</v>
      </c>
      <c r="AI35" s="53">
        <f t="shared" si="4"/>
        <v>202.96767410183506</v>
      </c>
      <c r="AJ35" s="27">
        <f t="shared" si="4"/>
        <v>464.1378572170512</v>
      </c>
      <c r="AK35" s="53">
        <f t="shared" si="4"/>
        <v>518.8480055422145</v>
      </c>
      <c r="AL35" s="27">
        <f t="shared" si="4"/>
        <v>323.6853762599638</v>
      </c>
      <c r="AM35" s="53">
        <f t="shared" si="4"/>
        <v>466.4617226190693</v>
      </c>
      <c r="AO35" s="49">
        <f t="shared" si="4"/>
        <v>482.7992301518651</v>
      </c>
      <c r="AP35" s="24">
        <f t="shared" si="4"/>
        <v>509.1268092328932</v>
      </c>
      <c r="AS35" s="24">
        <f>AS34/AS11*1000</f>
        <v>425.3236976814212</v>
      </c>
      <c r="AT35" s="24">
        <f>AT34/AT11*1000</f>
        <v>436.95843985430196</v>
      </c>
      <c r="AU35" s="24">
        <f>AU34/AU11*1000</f>
        <v>438.11379012636377</v>
      </c>
      <c r="AY35" s="1048"/>
      <c r="AZ35" s="14">
        <f>RANK(K35,K35:AM35,1)</f>
        <v>9</v>
      </c>
    </row>
    <row r="36" spans="9:46" s="14" customFormat="1" ht="6" customHeight="1">
      <c r="I36" s="42"/>
      <c r="K36" s="15"/>
      <c r="M36" s="76"/>
      <c r="O36" s="42"/>
      <c r="Q36" s="42"/>
      <c r="S36" s="42"/>
      <c r="U36" s="42"/>
      <c r="W36" s="42"/>
      <c r="Y36" s="42"/>
      <c r="AA36" s="42"/>
      <c r="AC36" s="42"/>
      <c r="AE36" s="42"/>
      <c r="AG36" s="42"/>
      <c r="AI36" s="42"/>
      <c r="AK36" s="42"/>
      <c r="AM36" s="42"/>
      <c r="AO36" s="42"/>
      <c r="AT36" s="15"/>
    </row>
    <row r="37" spans="2:51" s="14" customFormat="1" ht="15.75">
      <c r="B37" s="1" t="s">
        <v>112</v>
      </c>
      <c r="I37" s="42"/>
      <c r="K37" s="15"/>
      <c r="M37" s="76"/>
      <c r="O37" s="42"/>
      <c r="Q37" s="42"/>
      <c r="S37" s="42"/>
      <c r="U37" s="42"/>
      <c r="W37" s="42"/>
      <c r="Y37" s="42"/>
      <c r="AA37" s="42"/>
      <c r="AC37" s="42"/>
      <c r="AE37" s="42"/>
      <c r="AG37" s="42"/>
      <c r="AI37" s="42"/>
      <c r="AK37" s="42"/>
      <c r="AM37" s="42"/>
      <c r="AO37" s="42"/>
      <c r="AT37" s="15"/>
      <c r="AY37" s="1041" t="s">
        <v>351</v>
      </c>
    </row>
    <row r="38" spans="3:51" s="14" customFormat="1" ht="15">
      <c r="C38" s="14" t="s">
        <v>25</v>
      </c>
      <c r="E38" s="14">
        <v>2011</v>
      </c>
      <c r="G38" s="21" t="s">
        <v>107</v>
      </c>
      <c r="I38" s="43" t="s">
        <v>140</v>
      </c>
      <c r="K38" s="36">
        <v>66</v>
      </c>
      <c r="L38" s="551"/>
      <c r="M38" s="84">
        <v>743.429</v>
      </c>
      <c r="N38" s="25">
        <v>433.958</v>
      </c>
      <c r="O38" s="51">
        <v>131.8</v>
      </c>
      <c r="P38" s="25">
        <v>39.803</v>
      </c>
      <c r="Q38" s="51">
        <v>944.171</v>
      </c>
      <c r="R38" s="25">
        <v>6004.233</v>
      </c>
      <c r="S38" s="51">
        <v>200.597</v>
      </c>
      <c r="T38" s="25">
        <v>23.217</v>
      </c>
      <c r="U38" s="51">
        <v>1534.902</v>
      </c>
      <c r="V38" s="25">
        <v>5027.461</v>
      </c>
      <c r="W38" s="51">
        <v>516</v>
      </c>
      <c r="X38" s="25">
        <v>3439.417</v>
      </c>
      <c r="Y38" s="51">
        <v>147.382</v>
      </c>
      <c r="Z38" s="25">
        <v>36.582</v>
      </c>
      <c r="AA38" s="51">
        <v>8935.447</v>
      </c>
      <c r="AB38" s="25">
        <v>60.123999999999995</v>
      </c>
      <c r="AC38" s="51">
        <v>43.335</v>
      </c>
      <c r="AD38" s="25">
        <v>38.623000000000005</v>
      </c>
      <c r="AE38" s="51">
        <v>15.507000000000001</v>
      </c>
      <c r="AF38" s="25">
        <v>1675.091</v>
      </c>
      <c r="AG38" s="51">
        <v>2102.175</v>
      </c>
      <c r="AH38" s="25">
        <v>497</v>
      </c>
      <c r="AI38" s="51">
        <v>90.082</v>
      </c>
      <c r="AJ38" s="25">
        <v>578.495</v>
      </c>
      <c r="AK38" s="51">
        <v>92.18299999999999</v>
      </c>
      <c r="AL38" s="25">
        <v>63.859</v>
      </c>
      <c r="AM38" s="51">
        <v>1266.836</v>
      </c>
      <c r="AN38" s="25"/>
      <c r="AO38" s="51">
        <v>34681.709</v>
      </c>
      <c r="AP38" s="25">
        <v>30932.783</v>
      </c>
      <c r="AQ38" s="551"/>
      <c r="AR38" s="551"/>
      <c r="AS38" s="25">
        <v>66</v>
      </c>
      <c r="AT38" s="36">
        <v>1105</v>
      </c>
      <c r="AU38" s="25">
        <f>AT38+26.998</f>
        <v>1131.998</v>
      </c>
      <c r="AW38" s="20">
        <v>-3744.7</v>
      </c>
      <c r="AY38" s="1041"/>
    </row>
    <row r="39" spans="3:46" s="14" customFormat="1" ht="6" customHeight="1">
      <c r="C39" s="551"/>
      <c r="D39" s="551"/>
      <c r="E39" s="551"/>
      <c r="F39" s="551"/>
      <c r="G39" s="551"/>
      <c r="H39" s="551"/>
      <c r="I39" s="552"/>
      <c r="J39" s="551"/>
      <c r="K39" s="556"/>
      <c r="L39" s="551"/>
      <c r="M39" s="557"/>
      <c r="N39" s="551"/>
      <c r="O39" s="552"/>
      <c r="P39" s="551"/>
      <c r="Q39" s="552"/>
      <c r="R39" s="551"/>
      <c r="S39" s="552"/>
      <c r="T39" s="551"/>
      <c r="U39" s="552"/>
      <c r="V39" s="551"/>
      <c r="W39" s="552"/>
      <c r="X39" s="551"/>
      <c r="Y39" s="552"/>
      <c r="Z39" s="551"/>
      <c r="AA39" s="552"/>
      <c r="AB39" s="551"/>
      <c r="AC39" s="552"/>
      <c r="AD39" s="551"/>
      <c r="AE39" s="552"/>
      <c r="AF39" s="551"/>
      <c r="AG39" s="552"/>
      <c r="AH39" s="551"/>
      <c r="AI39" s="552"/>
      <c r="AJ39" s="551"/>
      <c r="AK39" s="552"/>
      <c r="AL39" s="551"/>
      <c r="AM39" s="552"/>
      <c r="AN39" s="551"/>
      <c r="AO39" s="552"/>
      <c r="AP39" s="551"/>
      <c r="AQ39" s="551"/>
      <c r="AR39" s="551"/>
      <c r="AT39" s="15"/>
    </row>
    <row r="40" spans="2:51" s="14" customFormat="1" ht="15.75">
      <c r="B40" s="1" t="s">
        <v>24</v>
      </c>
      <c r="I40" s="42"/>
      <c r="K40" s="15"/>
      <c r="M40" s="76"/>
      <c r="O40" s="42"/>
      <c r="Q40" s="42"/>
      <c r="S40" s="42"/>
      <c r="U40" s="42"/>
      <c r="W40" s="42"/>
      <c r="Y40" s="42"/>
      <c r="AA40" s="42"/>
      <c r="AC40" s="42"/>
      <c r="AE40" s="42"/>
      <c r="AG40" s="42"/>
      <c r="AI40" s="42"/>
      <c r="AK40" s="42"/>
      <c r="AM40" s="42"/>
      <c r="AO40" s="42"/>
      <c r="AT40" s="15"/>
      <c r="AY40" s="1042" t="s">
        <v>352</v>
      </c>
    </row>
    <row r="41" spans="3:51" s="14" customFormat="1" ht="15">
      <c r="C41" s="14" t="s">
        <v>25</v>
      </c>
      <c r="E41" s="14">
        <v>2011</v>
      </c>
      <c r="G41" s="14" t="s">
        <v>100</v>
      </c>
      <c r="I41" s="43" t="s">
        <v>139</v>
      </c>
      <c r="J41" s="551"/>
      <c r="K41" s="36">
        <v>273</v>
      </c>
      <c r="L41" s="551"/>
      <c r="M41" s="84">
        <v>407.452</v>
      </c>
      <c r="N41" s="25">
        <v>761.214</v>
      </c>
      <c r="O41" s="51">
        <v>347.561</v>
      </c>
      <c r="P41" s="25">
        <v>118.003</v>
      </c>
      <c r="Q41" s="51">
        <v>597.2320000000001</v>
      </c>
      <c r="R41" s="25">
        <v>2712.977</v>
      </c>
      <c r="S41" s="51">
        <v>469.248</v>
      </c>
      <c r="T41" s="25">
        <v>84.337</v>
      </c>
      <c r="U41" s="51">
        <v>1321.296</v>
      </c>
      <c r="V41" s="25">
        <v>5256.751</v>
      </c>
      <c r="W41" s="51">
        <v>488.939</v>
      </c>
      <c r="X41" s="25">
        <v>5251.203504939157</v>
      </c>
      <c r="Y41" s="51">
        <v>465.686</v>
      </c>
      <c r="Z41" s="25">
        <v>320.996</v>
      </c>
      <c r="AA41" s="51">
        <v>4181.895</v>
      </c>
      <c r="AB41" s="25">
        <v>136.779</v>
      </c>
      <c r="AC41" s="51">
        <v>36.813</v>
      </c>
      <c r="AD41" s="25">
        <v>72.622</v>
      </c>
      <c r="AE41" s="51">
        <v>48.367</v>
      </c>
      <c r="AF41" s="25">
        <v>990.698</v>
      </c>
      <c r="AG41" s="51">
        <v>3130.729</v>
      </c>
      <c r="AH41" s="25">
        <v>1335.5</v>
      </c>
      <c r="AI41" s="51">
        <v>696.26</v>
      </c>
      <c r="AJ41" s="25">
        <v>548.272</v>
      </c>
      <c r="AK41" s="51">
        <v>84.644</v>
      </c>
      <c r="AL41" s="25">
        <v>281.81100000000004</v>
      </c>
      <c r="AM41" s="51">
        <v>3833.235</v>
      </c>
      <c r="AN41" s="25"/>
      <c r="AO41" s="59">
        <v>33980.52050493915</v>
      </c>
      <c r="AP41" s="91">
        <v>27916.489504939156</v>
      </c>
      <c r="AQ41" s="555"/>
      <c r="AR41" s="551"/>
      <c r="AS41" s="25">
        <v>274</v>
      </c>
      <c r="AT41" s="36">
        <v>3677.4</v>
      </c>
      <c r="AU41" s="25">
        <f>AT41+(96.117+23.352)</f>
        <v>3796.869</v>
      </c>
      <c r="AW41" s="25">
        <v>-5810.6</v>
      </c>
      <c r="AY41" s="1042"/>
    </row>
    <row r="42" spans="3:52" s="14" customFormat="1" ht="15.75" customHeight="1">
      <c r="C42" s="14" t="s">
        <v>40</v>
      </c>
      <c r="E42" s="14">
        <v>2011</v>
      </c>
      <c r="G42" s="14" t="s">
        <v>100</v>
      </c>
      <c r="I42" s="44" t="s">
        <v>26</v>
      </c>
      <c r="K42" s="24">
        <f>K41/K11</f>
        <v>51.377597109304425</v>
      </c>
      <c r="M42" s="74">
        <f>M41/M11</f>
        <v>48.25904670581065</v>
      </c>
      <c r="N42" s="24">
        <f aca="true" t="shared" si="5" ref="N42:AP42">N41/N11</f>
        <v>68.94263755623676</v>
      </c>
      <c r="O42" s="49">
        <f t="shared" si="5"/>
        <v>47.4341988179971</v>
      </c>
      <c r="P42" s="24">
        <f t="shared" si="5"/>
        <v>136.8926846641168</v>
      </c>
      <c r="Q42" s="49">
        <f t="shared" si="5"/>
        <v>56.849757435310934</v>
      </c>
      <c r="R42" s="24">
        <f t="shared" si="5"/>
        <v>33.14825178511202</v>
      </c>
      <c r="S42" s="49">
        <f t="shared" si="5"/>
        <v>84.08684788288394</v>
      </c>
      <c r="T42" s="24">
        <f t="shared" si="5"/>
        <v>62.95393912792929</v>
      </c>
      <c r="U42" s="49">
        <f t="shared" si="5"/>
        <v>117.02272663867078</v>
      </c>
      <c r="V42" s="24">
        <f t="shared" si="5"/>
        <v>113.7916614750505</v>
      </c>
      <c r="W42" s="49">
        <f t="shared" si="5"/>
        <v>90.52301987663266</v>
      </c>
      <c r="X42" s="24">
        <f t="shared" si="5"/>
        <v>82.74724164918958</v>
      </c>
      <c r="Y42" s="49">
        <f t="shared" si="5"/>
        <v>46.76627637360358</v>
      </c>
      <c r="Z42" s="24">
        <f t="shared" si="5"/>
        <v>70.04411524997224</v>
      </c>
      <c r="AA42" s="49">
        <f t="shared" si="5"/>
        <v>68.7576861086454</v>
      </c>
      <c r="AB42" s="24">
        <f t="shared" si="5"/>
        <v>45.475400614012166</v>
      </c>
      <c r="AC42" s="49">
        <f t="shared" si="5"/>
        <v>70.13963909894771</v>
      </c>
      <c r="AD42" s="24">
        <f t="shared" si="5"/>
        <v>35.56828094151966</v>
      </c>
      <c r="AE42" s="49">
        <f t="shared" si="5"/>
        <v>116.23609141813462</v>
      </c>
      <c r="AF42" s="24">
        <f t="shared" si="5"/>
        <v>59.2156242057846</v>
      </c>
      <c r="AG42" s="49">
        <f t="shared" si="5"/>
        <v>81.23651168403335</v>
      </c>
      <c r="AH42" s="24">
        <f t="shared" si="5"/>
        <v>126.68566398275823</v>
      </c>
      <c r="AI42" s="49">
        <f t="shared" si="5"/>
        <v>32.60277781510817</v>
      </c>
      <c r="AJ42" s="24">
        <f t="shared" si="5"/>
        <v>57.8171869125912</v>
      </c>
      <c r="AK42" s="49">
        <f t="shared" si="5"/>
        <v>41.17935525050888</v>
      </c>
      <c r="AL42" s="24">
        <f t="shared" si="5"/>
        <v>52.145486519863184</v>
      </c>
      <c r="AM42" s="49">
        <f t="shared" si="5"/>
        <v>60.85509421800918</v>
      </c>
      <c r="AN42" s="24"/>
      <c r="AO42" s="49">
        <f t="shared" si="5"/>
        <v>67.72495182780656</v>
      </c>
      <c r="AP42" s="24">
        <f t="shared" si="5"/>
        <v>69.97824061037913</v>
      </c>
      <c r="AQ42" s="24"/>
      <c r="AR42" s="24"/>
      <c r="AS42" s="24">
        <v>54.589718906430505</v>
      </c>
      <c r="AT42" s="24">
        <f>AT41/AT11</f>
        <v>59.42658052338829</v>
      </c>
      <c r="AU42" s="24">
        <f>AU41/AU11</f>
        <v>59.600800565104784</v>
      </c>
      <c r="AY42" s="1042"/>
      <c r="AZ42" s="14">
        <f>RANK(K42,K42:AM42,1)</f>
        <v>9</v>
      </c>
    </row>
    <row r="43" spans="9:46" s="14" customFormat="1" ht="6" customHeight="1">
      <c r="I43" s="44"/>
      <c r="K43" s="36"/>
      <c r="M43" s="74"/>
      <c r="N43" s="24"/>
      <c r="O43" s="49"/>
      <c r="P43" s="24"/>
      <c r="Q43" s="49"/>
      <c r="R43" s="24"/>
      <c r="S43" s="49"/>
      <c r="T43" s="24"/>
      <c r="U43" s="49"/>
      <c r="V43" s="24"/>
      <c r="W43" s="49"/>
      <c r="X43" s="24"/>
      <c r="Y43" s="49"/>
      <c r="Z43" s="24"/>
      <c r="AA43" s="49"/>
      <c r="AB43" s="24"/>
      <c r="AC43" s="49"/>
      <c r="AD43" s="24"/>
      <c r="AE43" s="49"/>
      <c r="AF43" s="24"/>
      <c r="AG43" s="49"/>
      <c r="AH43" s="24"/>
      <c r="AI43" s="49"/>
      <c r="AJ43" s="24"/>
      <c r="AK43" s="49"/>
      <c r="AL43" s="24"/>
      <c r="AM43" s="49"/>
      <c r="AN43" s="24"/>
      <c r="AO43" s="49"/>
      <c r="AP43" s="24"/>
      <c r="AQ43" s="24"/>
      <c r="AR43" s="24"/>
      <c r="AS43" s="24"/>
      <c r="AT43" s="36"/>
    </row>
    <row r="44" spans="2:51" s="14" customFormat="1" ht="14.25" customHeight="1">
      <c r="B44" s="1" t="s">
        <v>344</v>
      </c>
      <c r="I44" s="42"/>
      <c r="K44" s="15"/>
      <c r="M44" s="76"/>
      <c r="O44" s="42"/>
      <c r="Q44" s="42"/>
      <c r="S44" s="42"/>
      <c r="U44" s="42"/>
      <c r="W44" s="42"/>
      <c r="Y44" s="42"/>
      <c r="AA44" s="42"/>
      <c r="AC44" s="42"/>
      <c r="AE44" s="42"/>
      <c r="AG44" s="42"/>
      <c r="AI44" s="42"/>
      <c r="AK44" s="42"/>
      <c r="AM44" s="42"/>
      <c r="AO44" s="42"/>
      <c r="AT44" s="15"/>
      <c r="AY44" s="1042" t="s">
        <v>353</v>
      </c>
    </row>
    <row r="45" spans="3:51" s="14" customFormat="1" ht="15">
      <c r="C45" s="14" t="s">
        <v>25</v>
      </c>
      <c r="E45" s="14">
        <v>2012</v>
      </c>
      <c r="I45" s="43" t="s">
        <v>138</v>
      </c>
      <c r="K45" s="36">
        <v>182.5</v>
      </c>
      <c r="M45" s="74">
        <v>336.01</v>
      </c>
      <c r="N45" s="24">
        <v>487.377</v>
      </c>
      <c r="O45" s="49">
        <v>19.752</v>
      </c>
      <c r="P45" s="24">
        <v>10.967</v>
      </c>
      <c r="Q45" s="49">
        <v>173.997</v>
      </c>
      <c r="R45" s="25">
        <v>3082.58</v>
      </c>
      <c r="S45" s="49">
        <v>170.531</v>
      </c>
      <c r="T45" s="24">
        <v>19.424</v>
      </c>
      <c r="U45" s="49">
        <v>58.479</v>
      </c>
      <c r="V45" s="24">
        <v>699.589</v>
      </c>
      <c r="W45" s="49">
        <v>107.166</v>
      </c>
      <c r="X45" s="24">
        <v>1898.76</v>
      </c>
      <c r="Y45" s="49">
        <v>50.398</v>
      </c>
      <c r="Z45" s="24">
        <v>79.498</v>
      </c>
      <c r="AA45" s="49">
        <v>1402.089</v>
      </c>
      <c r="AB45" s="24">
        <v>12.165</v>
      </c>
      <c r="AC45" s="929">
        <v>53.008</v>
      </c>
      <c r="AD45" s="24">
        <v>10.665</v>
      </c>
      <c r="AE45" s="49">
        <v>5.884</v>
      </c>
      <c r="AF45" s="24">
        <v>502.675</v>
      </c>
      <c r="AG45" s="49">
        <v>271.215</v>
      </c>
      <c r="AH45" s="24">
        <v>95.29</v>
      </c>
      <c r="AI45" s="49">
        <v>72.148</v>
      </c>
      <c r="AJ45" s="24">
        <v>279.478</v>
      </c>
      <c r="AK45" s="49">
        <v>50.091</v>
      </c>
      <c r="AL45" s="24">
        <v>69.195</v>
      </c>
      <c r="AM45" s="51">
        <v>2044.609</v>
      </c>
      <c r="AN45" s="25"/>
      <c r="AO45" s="930">
        <v>12063.039999999997</v>
      </c>
      <c r="AP45" s="931">
        <v>11297.139</v>
      </c>
      <c r="AQ45" s="551"/>
      <c r="AR45" s="551"/>
      <c r="AS45" s="24">
        <v>183</v>
      </c>
      <c r="AT45" s="1032">
        <v>2010.8</v>
      </c>
      <c r="AU45" s="1037">
        <f>AT45+36.365</f>
        <v>2047.165</v>
      </c>
      <c r="AW45" s="25">
        <v>-880.3000000000011</v>
      </c>
      <c r="AY45" s="1042"/>
    </row>
    <row r="46" spans="3:52" s="14" customFormat="1" ht="15">
      <c r="C46" s="14" t="s">
        <v>40</v>
      </c>
      <c r="E46" s="14">
        <v>2012</v>
      </c>
      <c r="I46" s="44" t="s">
        <v>26</v>
      </c>
      <c r="K46" s="36">
        <f>K45/K11</f>
        <v>34.3458295694068</v>
      </c>
      <c r="M46" s="86">
        <f>M45/M11</f>
        <v>39.79738051014459</v>
      </c>
      <c r="N46" s="26">
        <f aca="true" t="shared" si="6" ref="N46:AP46">N45/N11</f>
        <v>44.14140552360572</v>
      </c>
      <c r="O46" s="932">
        <f t="shared" si="6"/>
        <v>2.695700308875503</v>
      </c>
      <c r="P46" s="26">
        <f t="shared" si="6"/>
        <v>12.722575465974334</v>
      </c>
      <c r="Q46" s="932">
        <f>Q45/Q11</f>
        <v>16.562553989859545</v>
      </c>
      <c r="R46" s="26">
        <f t="shared" si="6"/>
        <v>37.664210934243314</v>
      </c>
      <c r="S46" s="932">
        <f t="shared" si="6"/>
        <v>30.558285291180958</v>
      </c>
      <c r="T46" s="26">
        <f t="shared" si="6"/>
        <v>14.499179643820606</v>
      </c>
      <c r="U46" s="932">
        <f t="shared" si="6"/>
        <v>5.179287632069443</v>
      </c>
      <c r="V46" s="26">
        <f t="shared" si="6"/>
        <v>15.143839732882366</v>
      </c>
      <c r="W46" s="932">
        <f t="shared" si="6"/>
        <v>19.840900292468415</v>
      </c>
      <c r="X46" s="26">
        <f t="shared" si="6"/>
        <v>29.92021779503204</v>
      </c>
      <c r="Y46" s="932">
        <f t="shared" si="6"/>
        <v>5.061193157356832</v>
      </c>
      <c r="Z46" s="26">
        <f t="shared" si="6"/>
        <v>17.347154089590813</v>
      </c>
      <c r="AA46" s="932">
        <f t="shared" si="6"/>
        <v>23.052801507064267</v>
      </c>
      <c r="AB46" s="26">
        <f t="shared" si="6"/>
        <v>4.044540817446085</v>
      </c>
      <c r="AC46" s="932">
        <f t="shared" si="6"/>
        <v>100.99589789903078</v>
      </c>
      <c r="AD46" s="26">
        <f t="shared" si="6"/>
        <v>5.223427008913375</v>
      </c>
      <c r="AE46" s="932">
        <f t="shared" si="6"/>
        <v>14.14049169690707</v>
      </c>
      <c r="AF46" s="26">
        <f t="shared" si="6"/>
        <v>30.04569898964445</v>
      </c>
      <c r="AG46" s="932">
        <f t="shared" si="6"/>
        <v>7.037517624931798</v>
      </c>
      <c r="AH46" s="26">
        <f t="shared" si="6"/>
        <v>9.039218959877973</v>
      </c>
      <c r="AI46" s="932">
        <f t="shared" si="6"/>
        <v>3.378371892402873</v>
      </c>
      <c r="AJ46" s="26">
        <f t="shared" si="6"/>
        <v>29.471925912607542</v>
      </c>
      <c r="AK46" s="932">
        <f t="shared" si="6"/>
        <v>24.36930064568357</v>
      </c>
      <c r="AL46" s="26">
        <f t="shared" si="6"/>
        <v>12.803641233812492</v>
      </c>
      <c r="AM46" s="932">
        <f t="shared" si="6"/>
        <v>32.45949526548451</v>
      </c>
      <c r="AN46" s="25"/>
      <c r="AO46" s="932">
        <f t="shared" si="6"/>
        <v>24.04226865148093</v>
      </c>
      <c r="AP46" s="26">
        <f t="shared" si="6"/>
        <v>28.318528768132833</v>
      </c>
      <c r="AQ46" s="555"/>
      <c r="AR46" s="555"/>
      <c r="AS46" s="26">
        <f>K46</f>
        <v>34.3458295694068</v>
      </c>
      <c r="AT46" s="26">
        <f>AT45/AT11</f>
        <v>32.494416739117085</v>
      </c>
      <c r="AU46" s="26">
        <f>AU45/AU11</f>
        <v>32.13507573973786</v>
      </c>
      <c r="AY46" s="1042"/>
      <c r="AZ46" s="14">
        <f>RANK(K46,K46:AM46,0)</f>
        <v>5</v>
      </c>
    </row>
    <row r="47" spans="9:41" s="14" customFormat="1" ht="6" customHeight="1">
      <c r="I47" s="42"/>
      <c r="K47" s="15"/>
      <c r="M47" s="76"/>
      <c r="O47" s="42"/>
      <c r="Q47" s="42"/>
      <c r="S47" s="42"/>
      <c r="U47" s="42"/>
      <c r="W47" s="42"/>
      <c r="Y47" s="42"/>
      <c r="AA47" s="42"/>
      <c r="AC47" s="42"/>
      <c r="AE47" s="42"/>
      <c r="AG47" s="42"/>
      <c r="AI47" s="42"/>
      <c r="AK47" s="42"/>
      <c r="AM47" s="42"/>
      <c r="AO47" s="42"/>
    </row>
    <row r="48" spans="1:41" s="14" customFormat="1" ht="15.75">
      <c r="A48" s="1" t="s">
        <v>28</v>
      </c>
      <c r="I48" s="42"/>
      <c r="K48" s="15"/>
      <c r="M48" s="76"/>
      <c r="O48" s="42"/>
      <c r="Q48" s="42"/>
      <c r="S48" s="42"/>
      <c r="U48" s="42"/>
      <c r="W48" s="42"/>
      <c r="Y48" s="42"/>
      <c r="AA48" s="42"/>
      <c r="AC48" s="42"/>
      <c r="AE48" s="42"/>
      <c r="AG48" s="42"/>
      <c r="AI48" s="42"/>
      <c r="AK48" s="42"/>
      <c r="AM48" s="42"/>
      <c r="AO48" s="42"/>
    </row>
    <row r="49" spans="1:41" s="14" customFormat="1" ht="6" customHeight="1">
      <c r="A49" s="1"/>
      <c r="I49" s="42"/>
      <c r="K49" s="15"/>
      <c r="M49" s="76"/>
      <c r="O49" s="42"/>
      <c r="Q49" s="42"/>
      <c r="S49" s="42"/>
      <c r="U49" s="42"/>
      <c r="W49" s="42"/>
      <c r="Y49" s="42"/>
      <c r="AA49" s="42"/>
      <c r="AC49" s="42"/>
      <c r="AE49" s="42"/>
      <c r="AG49" s="42"/>
      <c r="AI49" s="42"/>
      <c r="AK49" s="42"/>
      <c r="AM49" s="42"/>
      <c r="AO49" s="42"/>
    </row>
    <row r="50" spans="1:41" s="14" customFormat="1" ht="15.75">
      <c r="A50" s="1"/>
      <c r="B50" s="1" t="s">
        <v>113</v>
      </c>
      <c r="I50" s="42"/>
      <c r="K50" s="15"/>
      <c r="M50" s="76"/>
      <c r="O50" s="42"/>
      <c r="Q50" s="42"/>
      <c r="S50" s="42"/>
      <c r="U50" s="42"/>
      <c r="W50" s="42"/>
      <c r="Y50" s="42"/>
      <c r="AA50" s="42"/>
      <c r="AC50" s="42"/>
      <c r="AE50" s="42"/>
      <c r="AG50" s="42"/>
      <c r="AI50" s="42"/>
      <c r="AK50" s="42"/>
      <c r="AM50" s="42"/>
      <c r="AO50" s="42"/>
    </row>
    <row r="51" spans="1:51" s="14" customFormat="1" ht="15.75">
      <c r="A51" s="1"/>
      <c r="C51" s="14" t="s">
        <v>23</v>
      </c>
      <c r="E51" s="14">
        <v>2011</v>
      </c>
      <c r="G51" s="62"/>
      <c r="I51" s="43" t="s">
        <v>148</v>
      </c>
      <c r="K51" s="36">
        <v>8557</v>
      </c>
      <c r="L51" s="25"/>
      <c r="M51" s="87">
        <v>8818</v>
      </c>
      <c r="N51" s="78">
        <v>10347</v>
      </c>
      <c r="O51" s="77">
        <v>6560</v>
      </c>
      <c r="P51" s="78">
        <v>6881</v>
      </c>
      <c r="Q51" s="77">
        <v>6234</v>
      </c>
      <c r="R51" s="78">
        <v>10978</v>
      </c>
      <c r="S51" s="77">
        <v>9399</v>
      </c>
      <c r="T51" s="78">
        <v>7749</v>
      </c>
      <c r="U51" s="77">
        <v>8708</v>
      </c>
      <c r="V51" s="78">
        <v>7230</v>
      </c>
      <c r="W51" s="77">
        <v>12125</v>
      </c>
      <c r="X51" s="78">
        <v>12806</v>
      </c>
      <c r="Y51" s="77">
        <v>5247</v>
      </c>
      <c r="Z51" s="78">
        <v>10005</v>
      </c>
      <c r="AA51" s="77">
        <v>10947</v>
      </c>
      <c r="AB51" s="78">
        <v>9944</v>
      </c>
      <c r="AC51" s="77">
        <v>12559</v>
      </c>
      <c r="AD51" s="78">
        <v>5559</v>
      </c>
      <c r="AE51" s="77">
        <v>5358</v>
      </c>
      <c r="AF51" s="78">
        <v>8374</v>
      </c>
      <c r="AG51" s="77">
        <v>8127</v>
      </c>
      <c r="AH51" s="78">
        <v>7891</v>
      </c>
      <c r="AI51" s="77">
        <v>3511</v>
      </c>
      <c r="AJ51" s="78">
        <v>11515</v>
      </c>
      <c r="AK51" s="77">
        <v>12400</v>
      </c>
      <c r="AL51" s="78">
        <v>4975</v>
      </c>
      <c r="AM51" s="71">
        <v>10400</v>
      </c>
      <c r="AN51" s="78"/>
      <c r="AO51" s="71">
        <v>9611</v>
      </c>
      <c r="AP51" s="78">
        <v>10418</v>
      </c>
      <c r="AQ51" s="78"/>
      <c r="AR51" s="78"/>
      <c r="AS51" s="25">
        <f aca="true" t="shared" si="7" ref="AS51:AS57">K51</f>
        <v>8557</v>
      </c>
      <c r="AT51" s="1016">
        <v>8684</v>
      </c>
      <c r="AY51" s="1041" t="s">
        <v>156</v>
      </c>
    </row>
    <row r="52" spans="1:51" s="14" customFormat="1" ht="15.75">
      <c r="A52" s="1"/>
      <c r="C52" s="14" t="s">
        <v>30</v>
      </c>
      <c r="E52" s="14">
        <v>2002</v>
      </c>
      <c r="G52" s="62"/>
      <c r="I52" s="42" t="s">
        <v>95</v>
      </c>
      <c r="K52" s="92">
        <v>55</v>
      </c>
      <c r="L52" s="25"/>
      <c r="M52" s="88">
        <v>198.40309702395353</v>
      </c>
      <c r="N52" s="28">
        <v>99.89534773094854</v>
      </c>
      <c r="O52" s="55" t="s">
        <v>149</v>
      </c>
      <c r="P52" s="28">
        <v>0</v>
      </c>
      <c r="Q52" s="54">
        <v>0</v>
      </c>
      <c r="R52" s="28">
        <v>217.13287561561415</v>
      </c>
      <c r="S52" s="54">
        <v>143.69933677229182</v>
      </c>
      <c r="T52" s="28">
        <v>0</v>
      </c>
      <c r="U52" s="54">
        <v>2013.4831460674156</v>
      </c>
      <c r="V52" s="28">
        <v>334.0339974410528</v>
      </c>
      <c r="W52" s="54">
        <v>171.23287671232876</v>
      </c>
      <c r="X52" s="28">
        <v>201.49070357932672</v>
      </c>
      <c r="Y52" s="54">
        <v>0</v>
      </c>
      <c r="Z52" s="28">
        <v>92.65858873841769</v>
      </c>
      <c r="AA52" s="54">
        <v>1188.044662309368</v>
      </c>
      <c r="AB52" s="28">
        <v>0</v>
      </c>
      <c r="AC52" s="54">
        <v>130.43478260869566</v>
      </c>
      <c r="AD52" s="28">
        <v>0</v>
      </c>
      <c r="AE52" s="54">
        <v>0</v>
      </c>
      <c r="AF52" s="28">
        <v>55.09979184523081</v>
      </c>
      <c r="AG52" s="54">
        <v>0</v>
      </c>
      <c r="AH52" s="28">
        <v>754.0208136234626</v>
      </c>
      <c r="AI52" s="55" t="s">
        <v>149</v>
      </c>
      <c r="AJ52" s="28">
        <v>110.53387863380125</v>
      </c>
      <c r="AK52" s="54">
        <v>0</v>
      </c>
      <c r="AL52" s="28">
        <v>0</v>
      </c>
      <c r="AM52" s="71">
        <v>85</v>
      </c>
      <c r="AN52" s="29"/>
      <c r="AO52" s="60" t="s">
        <v>149</v>
      </c>
      <c r="AP52" s="28">
        <v>404.66124266920576</v>
      </c>
      <c r="AQ52" s="25"/>
      <c r="AR52" s="25"/>
      <c r="AS52" s="25">
        <f t="shared" si="7"/>
        <v>55</v>
      </c>
      <c r="AT52" s="25">
        <v>57.936</v>
      </c>
      <c r="AY52" s="1041"/>
    </row>
    <row r="53" spans="1:51" s="14" customFormat="1" ht="15.75">
      <c r="A53" s="1"/>
      <c r="C53" s="14" t="s">
        <v>33</v>
      </c>
      <c r="E53" s="14">
        <v>2011</v>
      </c>
      <c r="G53" s="62"/>
      <c r="I53" s="43" t="s">
        <v>150</v>
      </c>
      <c r="K53" s="36">
        <v>651</v>
      </c>
      <c r="L53" s="25"/>
      <c r="M53" s="87">
        <v>1129</v>
      </c>
      <c r="N53" s="78">
        <v>1718</v>
      </c>
      <c r="O53" s="77">
        <v>1480</v>
      </c>
      <c r="P53" s="78">
        <v>1537</v>
      </c>
      <c r="Q53" s="77">
        <v>1507</v>
      </c>
      <c r="R53" s="78">
        <v>747</v>
      </c>
      <c r="S53" s="77">
        <v>1219</v>
      </c>
      <c r="T53" s="78">
        <v>1546</v>
      </c>
      <c r="U53" s="77">
        <v>1874</v>
      </c>
      <c r="V53" s="78">
        <v>1207</v>
      </c>
      <c r="W53" s="77">
        <v>1396</v>
      </c>
      <c r="X53" s="78">
        <v>805</v>
      </c>
      <c r="Y53" s="77">
        <v>1653</v>
      </c>
      <c r="Z53" s="78">
        <v>1524</v>
      </c>
      <c r="AA53" s="77">
        <v>1697</v>
      </c>
      <c r="AB53" s="78">
        <v>914</v>
      </c>
      <c r="AC53" s="77">
        <v>1882</v>
      </c>
      <c r="AD53" s="78">
        <v>970</v>
      </c>
      <c r="AE53" s="77">
        <v>1143</v>
      </c>
      <c r="AF53" s="78">
        <v>713</v>
      </c>
      <c r="AG53" s="77">
        <v>536</v>
      </c>
      <c r="AH53" s="78">
        <v>1007</v>
      </c>
      <c r="AI53" s="77">
        <v>551</v>
      </c>
      <c r="AJ53" s="78">
        <v>921</v>
      </c>
      <c r="AK53" s="77">
        <v>1578</v>
      </c>
      <c r="AL53" s="78">
        <v>1013</v>
      </c>
      <c r="AM53" s="71">
        <v>713</v>
      </c>
      <c r="AN53" s="78"/>
      <c r="AO53" s="60">
        <v>1021</v>
      </c>
      <c r="AP53" s="78">
        <v>1051</v>
      </c>
      <c r="AQ53" s="25"/>
      <c r="AR53" s="25"/>
      <c r="AS53" s="25">
        <f t="shared" si="7"/>
        <v>651</v>
      </c>
      <c r="AT53" s="25">
        <v>564.88</v>
      </c>
      <c r="AY53" s="1041"/>
    </row>
    <row r="54" spans="1:51" s="14" customFormat="1" ht="15.75">
      <c r="A54" s="1"/>
      <c r="C54" s="14" t="s">
        <v>47</v>
      </c>
      <c r="E54" s="14">
        <v>2011</v>
      </c>
      <c r="G54" s="62"/>
      <c r="I54" s="42" t="s">
        <v>151</v>
      </c>
      <c r="K54" s="36">
        <v>0</v>
      </c>
      <c r="L54" s="25"/>
      <c r="M54" s="435">
        <v>481</v>
      </c>
      <c r="N54" s="436">
        <v>103</v>
      </c>
      <c r="O54" s="437">
        <v>119</v>
      </c>
      <c r="P54" s="436" t="s">
        <v>149</v>
      </c>
      <c r="Q54" s="437">
        <v>830</v>
      </c>
      <c r="R54" s="436">
        <v>203</v>
      </c>
      <c r="S54" s="437">
        <v>50</v>
      </c>
      <c r="T54" s="436">
        <v>49</v>
      </c>
      <c r="U54" s="437">
        <v>148</v>
      </c>
      <c r="V54" s="436">
        <v>137</v>
      </c>
      <c r="W54" s="437">
        <v>95</v>
      </c>
      <c r="X54" s="436">
        <v>237</v>
      </c>
      <c r="Y54" s="437">
        <v>251</v>
      </c>
      <c r="Z54" s="436">
        <v>30</v>
      </c>
      <c r="AA54" s="437">
        <v>117</v>
      </c>
      <c r="AB54" s="436" t="s">
        <v>149</v>
      </c>
      <c r="AC54" s="437" t="s">
        <v>149</v>
      </c>
      <c r="AD54" s="436">
        <v>61</v>
      </c>
      <c r="AE54" s="437" t="s">
        <v>149</v>
      </c>
      <c r="AF54" s="436">
        <v>93</v>
      </c>
      <c r="AG54" s="437">
        <v>114</v>
      </c>
      <c r="AH54" s="436">
        <v>109</v>
      </c>
      <c r="AI54" s="437">
        <v>331</v>
      </c>
      <c r="AJ54" s="436">
        <v>247</v>
      </c>
      <c r="AK54" s="437" t="s">
        <v>149</v>
      </c>
      <c r="AL54" s="436">
        <v>57</v>
      </c>
      <c r="AM54" s="71">
        <v>173</v>
      </c>
      <c r="AN54" s="78"/>
      <c r="AO54" s="60">
        <v>185</v>
      </c>
      <c r="AP54" s="78">
        <v>172</v>
      </c>
      <c r="AQ54" s="25"/>
      <c r="AR54" s="25"/>
      <c r="AS54" s="25">
        <f t="shared" si="7"/>
        <v>0</v>
      </c>
      <c r="AT54" s="25">
        <v>117.48</v>
      </c>
      <c r="AY54" s="1041"/>
    </row>
    <row r="55" spans="1:51" s="31" customFormat="1" ht="15.75">
      <c r="A55" s="440"/>
      <c r="C55" s="15" t="s">
        <v>53</v>
      </c>
      <c r="E55" s="31">
        <v>2011</v>
      </c>
      <c r="G55" s="441"/>
      <c r="I55" s="44" t="s">
        <v>152</v>
      </c>
      <c r="K55" s="36">
        <v>778</v>
      </c>
      <c r="L55" s="36"/>
      <c r="M55" s="435">
        <v>1288</v>
      </c>
      <c r="N55" s="436">
        <v>943</v>
      </c>
      <c r="O55" s="437">
        <v>282</v>
      </c>
      <c r="P55" s="436" t="s">
        <v>149</v>
      </c>
      <c r="Q55" s="437">
        <v>639</v>
      </c>
      <c r="R55" s="436">
        <v>1038</v>
      </c>
      <c r="S55" s="437">
        <v>1185</v>
      </c>
      <c r="T55" s="436">
        <v>181</v>
      </c>
      <c r="U55" s="437">
        <v>85</v>
      </c>
      <c r="V55" s="436">
        <v>493</v>
      </c>
      <c r="W55" s="437">
        <v>719</v>
      </c>
      <c r="X55" s="436">
        <v>1402</v>
      </c>
      <c r="Y55" s="437">
        <v>784</v>
      </c>
      <c r="Z55" s="436">
        <v>357</v>
      </c>
      <c r="AA55" s="437">
        <v>713</v>
      </c>
      <c r="AB55" s="436">
        <v>129</v>
      </c>
      <c r="AC55" s="437">
        <v>665</v>
      </c>
      <c r="AD55" s="436">
        <v>363</v>
      </c>
      <c r="AE55" s="437" t="s">
        <v>149</v>
      </c>
      <c r="AF55" s="436">
        <v>941</v>
      </c>
      <c r="AG55" s="437">
        <v>472</v>
      </c>
      <c r="AH55" s="436">
        <v>393</v>
      </c>
      <c r="AI55" s="437">
        <v>238</v>
      </c>
      <c r="AJ55" s="436">
        <v>1200</v>
      </c>
      <c r="AK55" s="437">
        <v>376</v>
      </c>
      <c r="AL55" s="436">
        <v>450</v>
      </c>
      <c r="AM55" s="71">
        <v>899</v>
      </c>
      <c r="AN55" s="436"/>
      <c r="AO55" s="60">
        <v>811</v>
      </c>
      <c r="AP55" s="436">
        <v>909</v>
      </c>
      <c r="AQ55" s="36"/>
      <c r="AR55" s="36"/>
      <c r="AS55" s="36">
        <f t="shared" si="7"/>
        <v>778</v>
      </c>
      <c r="AT55" s="1017">
        <v>778.92</v>
      </c>
      <c r="AY55" s="1041"/>
    </row>
    <row r="56" spans="1:51" s="14" customFormat="1" ht="15.75">
      <c r="A56" s="1"/>
      <c r="C56" s="14" t="s">
        <v>34</v>
      </c>
      <c r="E56" s="14">
        <v>2001</v>
      </c>
      <c r="G56" s="62"/>
      <c r="I56" s="42" t="s">
        <v>95</v>
      </c>
      <c r="K56" s="36">
        <v>56</v>
      </c>
      <c r="L56" s="25"/>
      <c r="M56" s="88">
        <v>136</v>
      </c>
      <c r="N56" s="28">
        <v>322</v>
      </c>
      <c r="O56" s="55" t="s">
        <v>149</v>
      </c>
      <c r="P56" s="30" t="s">
        <v>149</v>
      </c>
      <c r="Q56" s="56" t="s">
        <v>149</v>
      </c>
      <c r="R56" s="28">
        <v>291</v>
      </c>
      <c r="S56" s="54">
        <v>936</v>
      </c>
      <c r="T56" s="30" t="s">
        <v>149</v>
      </c>
      <c r="U56" s="54">
        <v>76</v>
      </c>
      <c r="V56" s="28">
        <v>20</v>
      </c>
      <c r="W56" s="54">
        <v>251</v>
      </c>
      <c r="X56" s="28">
        <v>75</v>
      </c>
      <c r="Y56" s="56" t="s">
        <v>149</v>
      </c>
      <c r="Z56" s="28">
        <v>184</v>
      </c>
      <c r="AA56" s="54">
        <v>154</v>
      </c>
      <c r="AB56" s="30" t="s">
        <v>149</v>
      </c>
      <c r="AC56" s="54">
        <v>23</v>
      </c>
      <c r="AD56" s="30" t="s">
        <v>149</v>
      </c>
      <c r="AE56" s="56" t="s">
        <v>149</v>
      </c>
      <c r="AF56" s="28">
        <v>848</v>
      </c>
      <c r="AG56" s="56" t="s">
        <v>149</v>
      </c>
      <c r="AH56" s="28">
        <v>29</v>
      </c>
      <c r="AI56" s="55" t="s">
        <v>149</v>
      </c>
      <c r="AJ56" s="28">
        <v>271</v>
      </c>
      <c r="AK56" s="56" t="s">
        <v>149</v>
      </c>
      <c r="AL56" s="30" t="s">
        <v>149</v>
      </c>
      <c r="AM56" s="71">
        <v>75</v>
      </c>
      <c r="AN56" s="25"/>
      <c r="AO56" s="60" t="s">
        <v>149</v>
      </c>
      <c r="AP56" s="28">
        <v>185.64083712530282</v>
      </c>
      <c r="AQ56" s="25"/>
      <c r="AR56" s="25"/>
      <c r="AS56" s="25">
        <f t="shared" si="7"/>
        <v>56</v>
      </c>
      <c r="AT56" s="25">
        <f>42*1.6</f>
        <v>67.2</v>
      </c>
      <c r="AY56" s="1041"/>
    </row>
    <row r="57" spans="1:51" s="14" customFormat="1" ht="15.75">
      <c r="A57" s="1"/>
      <c r="C57" s="14" t="s">
        <v>35</v>
      </c>
      <c r="E57" s="14">
        <v>2001</v>
      </c>
      <c r="G57" s="62"/>
      <c r="I57" s="42" t="s">
        <v>95</v>
      </c>
      <c r="K57" s="36">
        <v>288</v>
      </c>
      <c r="L57" s="25"/>
      <c r="M57" s="88">
        <v>419</v>
      </c>
      <c r="N57" s="28">
        <v>380</v>
      </c>
      <c r="O57" s="55" t="s">
        <v>149</v>
      </c>
      <c r="P57" s="30" t="s">
        <v>149</v>
      </c>
      <c r="Q57" s="56" t="s">
        <v>149</v>
      </c>
      <c r="R57" s="28">
        <v>372</v>
      </c>
      <c r="S57" s="54">
        <v>431</v>
      </c>
      <c r="T57" s="30" t="s">
        <v>149</v>
      </c>
      <c r="U57" s="54">
        <v>389</v>
      </c>
      <c r="V57" s="28">
        <v>368</v>
      </c>
      <c r="W57" s="54">
        <v>386</v>
      </c>
      <c r="X57" s="28">
        <v>404</v>
      </c>
      <c r="Y57" s="56" t="s">
        <v>149</v>
      </c>
      <c r="Z57" s="28">
        <v>368</v>
      </c>
      <c r="AA57" s="54">
        <v>410</v>
      </c>
      <c r="AB57" s="30" t="s">
        <v>149</v>
      </c>
      <c r="AC57" s="54">
        <v>457</v>
      </c>
      <c r="AD57" s="30" t="s">
        <v>149</v>
      </c>
      <c r="AE57" s="56" t="s">
        <v>149</v>
      </c>
      <c r="AF57" s="28">
        <v>377</v>
      </c>
      <c r="AG57" s="56" t="s">
        <v>149</v>
      </c>
      <c r="AH57" s="28">
        <v>342</v>
      </c>
      <c r="AI57" s="55" t="s">
        <v>149</v>
      </c>
      <c r="AJ57" s="28">
        <v>383</v>
      </c>
      <c r="AK57" s="56" t="s">
        <v>149</v>
      </c>
      <c r="AL57" s="30" t="s">
        <v>149</v>
      </c>
      <c r="AM57" s="71">
        <v>355</v>
      </c>
      <c r="AN57" s="25"/>
      <c r="AO57" s="60" t="s">
        <v>149</v>
      </c>
      <c r="AP57" s="28">
        <v>382.13200513267816</v>
      </c>
      <c r="AQ57" s="25"/>
      <c r="AR57" s="25"/>
      <c r="AS57" s="25">
        <f t="shared" si="7"/>
        <v>288</v>
      </c>
      <c r="AT57" s="25">
        <f>179*1.6</f>
        <v>286.40000000000003</v>
      </c>
      <c r="AY57" s="1041"/>
    </row>
    <row r="58" spans="1:51" s="14" customFormat="1" ht="15.75">
      <c r="A58" s="1"/>
      <c r="C58" s="14" t="s">
        <v>32</v>
      </c>
      <c r="G58" s="62"/>
      <c r="I58" s="44" t="s">
        <v>26</v>
      </c>
      <c r="K58" s="36">
        <f>SUM(K51:K57)</f>
        <v>10385</v>
      </c>
      <c r="L58" s="25"/>
      <c r="M58" s="87">
        <f>SUM(M51:M57)</f>
        <v>12469.403097023953</v>
      </c>
      <c r="N58" s="78">
        <f>SUM(N51:N57)</f>
        <v>13912.895347730948</v>
      </c>
      <c r="O58" s="77">
        <f aca="true" t="shared" si="8" ref="O58:AL58">SUM(O51:O57)</f>
        <v>8441</v>
      </c>
      <c r="P58" s="78">
        <f>SUM(P51:P57)</f>
        <v>8418</v>
      </c>
      <c r="Q58" s="77">
        <f t="shared" si="8"/>
        <v>9210</v>
      </c>
      <c r="R58" s="78">
        <f>SUM(R51:R57)</f>
        <v>13846.132875615614</v>
      </c>
      <c r="S58" s="77">
        <f t="shared" si="8"/>
        <v>13363.699336772292</v>
      </c>
      <c r="T58" s="78">
        <f t="shared" si="8"/>
        <v>9525</v>
      </c>
      <c r="U58" s="77">
        <f t="shared" si="8"/>
        <v>13293.483146067416</v>
      </c>
      <c r="V58" s="78">
        <f t="shared" si="8"/>
        <v>9789.033997441053</v>
      </c>
      <c r="W58" s="77">
        <f t="shared" si="8"/>
        <v>15143.232876712329</v>
      </c>
      <c r="X58" s="78">
        <f t="shared" si="8"/>
        <v>15930.490703579328</v>
      </c>
      <c r="Y58" s="77">
        <f t="shared" si="8"/>
        <v>7935</v>
      </c>
      <c r="Z58" s="78">
        <f t="shared" si="8"/>
        <v>12560.658588738417</v>
      </c>
      <c r="AA58" s="77">
        <f t="shared" si="8"/>
        <v>15226.044662309369</v>
      </c>
      <c r="AB58" s="78">
        <f t="shared" si="8"/>
        <v>10987</v>
      </c>
      <c r="AC58" s="77">
        <f t="shared" si="8"/>
        <v>15716.434782608696</v>
      </c>
      <c r="AD58" s="78">
        <f t="shared" si="8"/>
        <v>6953</v>
      </c>
      <c r="AE58" s="77">
        <f t="shared" si="8"/>
        <v>6501</v>
      </c>
      <c r="AF58" s="78">
        <f t="shared" si="8"/>
        <v>11401.09979184523</v>
      </c>
      <c r="AG58" s="77">
        <f t="shared" si="8"/>
        <v>9249</v>
      </c>
      <c r="AH58" s="78">
        <f t="shared" si="8"/>
        <v>10525.020813623463</v>
      </c>
      <c r="AI58" s="77">
        <f t="shared" si="8"/>
        <v>4631</v>
      </c>
      <c r="AJ58" s="78">
        <f t="shared" si="8"/>
        <v>14647.533878633802</v>
      </c>
      <c r="AK58" s="77">
        <f t="shared" si="8"/>
        <v>14354</v>
      </c>
      <c r="AL58" s="78">
        <f t="shared" si="8"/>
        <v>6495</v>
      </c>
      <c r="AM58" s="71">
        <f>SUM(AM51:AM57)</f>
        <v>12700</v>
      </c>
      <c r="AN58" s="78"/>
      <c r="AO58" s="77">
        <f>SUM(AO51:AO57)</f>
        <v>11628</v>
      </c>
      <c r="AP58" s="78">
        <f>SUM(AP51:AP57)</f>
        <v>13522.434084927188</v>
      </c>
      <c r="AQ58" s="25"/>
      <c r="AR58" s="25"/>
      <c r="AS58" s="25">
        <f>SUM(AS51:AS57)</f>
        <v>10385</v>
      </c>
      <c r="AT58" s="25">
        <f>SUM(AT51:AT57)</f>
        <v>10556.815999999999</v>
      </c>
      <c r="AY58" s="1041"/>
    </row>
    <row r="59" spans="9:46" s="14" customFormat="1" ht="10.5" customHeight="1">
      <c r="I59" s="42"/>
      <c r="K59" s="37"/>
      <c r="M59" s="76"/>
      <c r="O59" s="42"/>
      <c r="Q59" s="42"/>
      <c r="S59" s="42"/>
      <c r="U59" s="42"/>
      <c r="W59" s="42"/>
      <c r="Y59" s="42"/>
      <c r="AA59" s="42"/>
      <c r="AC59" s="42"/>
      <c r="AE59" s="42"/>
      <c r="AG59" s="42"/>
      <c r="AI59" s="42"/>
      <c r="AK59" s="42"/>
      <c r="AM59" s="71"/>
      <c r="AO59" s="42"/>
      <c r="AS59" s="38"/>
      <c r="AT59" s="38"/>
    </row>
    <row r="60" spans="2:46" s="14" customFormat="1" ht="15.75">
      <c r="B60" s="1" t="s">
        <v>114</v>
      </c>
      <c r="I60" s="42"/>
      <c r="K60" s="37"/>
      <c r="M60" s="76"/>
      <c r="O60" s="42"/>
      <c r="Q60" s="42"/>
      <c r="S60" s="42"/>
      <c r="U60" s="42"/>
      <c r="W60" s="42"/>
      <c r="Y60" s="42"/>
      <c r="AA60" s="42"/>
      <c r="AC60" s="42"/>
      <c r="AE60" s="42"/>
      <c r="AG60" s="42"/>
      <c r="AI60" s="42"/>
      <c r="AK60" s="42"/>
      <c r="AM60" s="71"/>
      <c r="AO60" s="42"/>
      <c r="AS60" s="38"/>
      <c r="AT60" s="38"/>
    </row>
    <row r="61" spans="3:46" s="14" customFormat="1" ht="12.75" customHeight="1">
      <c r="C61" s="14" t="s">
        <v>23</v>
      </c>
      <c r="E61" s="14">
        <v>2011</v>
      </c>
      <c r="G61" s="1045" t="s">
        <v>108</v>
      </c>
      <c r="I61" s="42" t="s">
        <v>345</v>
      </c>
      <c r="K61" s="79">
        <v>86.27411575562701</v>
      </c>
      <c r="L61" s="79"/>
      <c r="M61" s="89">
        <v>75.2630887273683</v>
      </c>
      <c r="N61" s="79">
        <v>78.9202898397476</v>
      </c>
      <c r="O61" s="80">
        <v>77.71581438328255</v>
      </c>
      <c r="P61" s="79">
        <v>81.74105034211642</v>
      </c>
      <c r="Q61" s="80">
        <v>67.68782363337571</v>
      </c>
      <c r="R61" s="79">
        <v>84.66997556491414</v>
      </c>
      <c r="S61" s="80">
        <v>79.29819787131107</v>
      </c>
      <c r="T61" s="79">
        <v>81.3495805326869</v>
      </c>
      <c r="U61" s="80">
        <v>80.51505940640058</v>
      </c>
      <c r="V61" s="79">
        <v>79.73749393651192</v>
      </c>
      <c r="W61" s="80">
        <v>84.58289743887791</v>
      </c>
      <c r="X61" s="79">
        <v>83.97440790235068</v>
      </c>
      <c r="Y61" s="80">
        <v>66.1265966413627</v>
      </c>
      <c r="Z61" s="79">
        <v>83.95795996280174</v>
      </c>
      <c r="AA61" s="80">
        <v>81.24537073757038</v>
      </c>
      <c r="AB61" s="79">
        <v>90.50688455136935</v>
      </c>
      <c r="AC61" s="80">
        <v>83.14121313768155</v>
      </c>
      <c r="AD61" s="79">
        <v>79.94745257700733</v>
      </c>
      <c r="AE61" s="80">
        <v>82.4174317070572</v>
      </c>
      <c r="AF61" s="79">
        <v>82.73002320507545</v>
      </c>
      <c r="AG61" s="80">
        <v>87.87127529735508</v>
      </c>
      <c r="AH61" s="79">
        <v>83.94739511397765</v>
      </c>
      <c r="AI61" s="80">
        <v>75.82282125539957</v>
      </c>
      <c r="AJ61" s="79">
        <v>82.9481836868324</v>
      </c>
      <c r="AK61" s="80">
        <v>86.38467918408939</v>
      </c>
      <c r="AL61" s="79">
        <v>76.59834317239579</v>
      </c>
      <c r="AM61" s="1133">
        <f>100*AM51/(AM$51+AM$53+AM$54+AM$55)</f>
        <v>85.3508411981945</v>
      </c>
      <c r="AN61" s="22"/>
      <c r="AO61" s="80">
        <f>100*AO51/(AO$51+AO$53+AO$54+AO$55)</f>
        <v>82.65393876848985</v>
      </c>
      <c r="AP61" s="79">
        <f>100*AP51/(AP$51+AP$53+AP$54+AP$55)</f>
        <v>83.01195219123505</v>
      </c>
      <c r="AS61" s="79">
        <f>100*AS51/(AS$51+AS$53+AS$54+AS$55)</f>
        <v>85.68996595233327</v>
      </c>
      <c r="AT61" s="79">
        <f>100*AT51/(AT$51+AT$53+AT$54+AT$55)</f>
        <v>85.5964547060308</v>
      </c>
    </row>
    <row r="62" spans="3:46" s="14" customFormat="1" ht="15">
      <c r="C62" s="14" t="s">
        <v>31</v>
      </c>
      <c r="E62" s="14">
        <v>2011</v>
      </c>
      <c r="G62" s="1045"/>
      <c r="I62" s="42" t="s">
        <v>145</v>
      </c>
      <c r="K62" s="79">
        <v>7.837620578778135</v>
      </c>
      <c r="L62" s="79"/>
      <c r="M62" s="89">
        <v>9.63698304707797</v>
      </c>
      <c r="N62" s="79">
        <v>13.104920853984222</v>
      </c>
      <c r="O62" s="80">
        <v>17.53082961924597</v>
      </c>
      <c r="P62" s="79">
        <v>18.258949657883562</v>
      </c>
      <c r="Q62" s="80">
        <v>16.364350459417278</v>
      </c>
      <c r="R62" s="79">
        <v>5.757746808031445</v>
      </c>
      <c r="S62" s="80">
        <v>10.286647314949201</v>
      </c>
      <c r="T62" s="79">
        <v>16.226642762789094</v>
      </c>
      <c r="U62" s="80">
        <v>17.32914293734679</v>
      </c>
      <c r="V62" s="79">
        <v>13.306730376260917</v>
      </c>
      <c r="W62" s="80">
        <v>9.738205018921049</v>
      </c>
      <c r="X62" s="79">
        <v>5.277196526220879</v>
      </c>
      <c r="Y62" s="80">
        <v>20.82562516571198</v>
      </c>
      <c r="Z62" s="79">
        <v>12.789951602603047</v>
      </c>
      <c r="AA62" s="80">
        <v>12.597450931343538</v>
      </c>
      <c r="AB62" s="79">
        <v>8.315932818883342</v>
      </c>
      <c r="AC62" s="80">
        <v>12.456883260692454</v>
      </c>
      <c r="AD62" s="79">
        <v>13.95394704403136</v>
      </c>
      <c r="AE62" s="80">
        <v>17.582568292942792</v>
      </c>
      <c r="AF62" s="79">
        <v>7.047454776326748</v>
      </c>
      <c r="AG62" s="80">
        <v>5.793670380371188</v>
      </c>
      <c r="AH62" s="79">
        <v>10.71343892576122</v>
      </c>
      <c r="AI62" s="80">
        <v>11.905599625513801</v>
      </c>
      <c r="AJ62" s="79">
        <v>6.6314307026885775</v>
      </c>
      <c r="AK62" s="80">
        <v>10.995388531083826</v>
      </c>
      <c r="AL62" s="79">
        <v>15.60193753177231</v>
      </c>
      <c r="AM62" s="1133">
        <f>100*AM53/(AM$51+AM$53+AM$54+AM$55)</f>
        <v>5.851456709068527</v>
      </c>
      <c r="AN62" s="22"/>
      <c r="AO62" s="80">
        <f>100*AO53/(AO$51+AO$53+AO$54+AO$55)</f>
        <v>8.780529755761954</v>
      </c>
      <c r="AP62" s="79">
        <f>100*AP53/(AP$51+AP$53+AP$54+AP$55)</f>
        <v>8.374501992031872</v>
      </c>
      <c r="AS62" s="79">
        <f>100*AS53/(AS$51+AS$53+AS$54+AS$55)</f>
        <v>6.519126777488484</v>
      </c>
      <c r="AT62" s="79">
        <f>100*AT53/(AT$51+AT$53+AT$54+AT$55)</f>
        <v>5.56790941206157</v>
      </c>
    </row>
    <row r="63" spans="3:46" s="14" customFormat="1" ht="15">
      <c r="C63" s="14" t="s">
        <v>53</v>
      </c>
      <c r="E63" s="14">
        <v>2011</v>
      </c>
      <c r="G63" s="1045"/>
      <c r="I63" s="42" t="s">
        <v>145</v>
      </c>
      <c r="K63" s="79">
        <v>5.888263665594855</v>
      </c>
      <c r="L63" s="79"/>
      <c r="M63" s="89">
        <v>10.994632080144761</v>
      </c>
      <c r="N63" s="79">
        <v>7.192193427403224</v>
      </c>
      <c r="O63" s="80">
        <v>3.3435170757724495</v>
      </c>
      <c r="P63" s="79" t="s">
        <v>158</v>
      </c>
      <c r="Q63" s="80">
        <v>6.939319711016714</v>
      </c>
      <c r="R63" s="79">
        <v>8.007979803595813</v>
      </c>
      <c r="S63" s="80">
        <v>9.99485970004838</v>
      </c>
      <c r="T63" s="79">
        <v>1.9042280607802657</v>
      </c>
      <c r="U63" s="80">
        <v>0.7844975101972317</v>
      </c>
      <c r="V63" s="79">
        <v>5.4416224557222135</v>
      </c>
      <c r="W63" s="80">
        <v>5.013754891704444</v>
      </c>
      <c r="X63" s="79">
        <v>9.196817450882422</v>
      </c>
      <c r="Y63" s="80">
        <v>9.878934630580797</v>
      </c>
      <c r="Z63" s="79">
        <v>2.999392373798958</v>
      </c>
      <c r="AA63" s="80">
        <v>5.2888598744379305</v>
      </c>
      <c r="AB63" s="79">
        <v>1.1771826297473142</v>
      </c>
      <c r="AC63" s="80">
        <v>4.4019036016260085</v>
      </c>
      <c r="AD63" s="79">
        <v>5.219522846858777</v>
      </c>
      <c r="AE63" s="80" t="s">
        <v>158</v>
      </c>
      <c r="AF63" s="79">
        <v>9.299303393529822</v>
      </c>
      <c r="AG63" s="80">
        <v>5.0995858071767515</v>
      </c>
      <c r="AH63" s="79">
        <v>4.180715285080676</v>
      </c>
      <c r="AI63" s="80">
        <v>5.130137339695194</v>
      </c>
      <c r="AJ63" s="79">
        <v>8.642888721098583</v>
      </c>
      <c r="AK63" s="80">
        <v>2.619932284826773</v>
      </c>
      <c r="AL63" s="79">
        <v>6.925673085583894</v>
      </c>
      <c r="AM63" s="1133">
        <f>100*AM55/(AM$51+AM$53+AM$54+AM$55)</f>
        <v>7.377923676651621</v>
      </c>
      <c r="AN63" s="22"/>
      <c r="AO63" s="80">
        <f>100*AO55/(AO$51+AO$53+AO$54+AO$55)</f>
        <v>6.974544203646371</v>
      </c>
      <c r="AP63" s="79">
        <f>100*AP55/(AP$51+AP$53+AP$54+AP$55)</f>
        <v>7.243027888446215</v>
      </c>
      <c r="AS63" s="79">
        <f>100*AS55/(AS$51+AS$53+AS$54+AS$55)</f>
        <v>7.790907270178249</v>
      </c>
      <c r="AT63" s="79">
        <f>100*AT55/(AT$51+AT$53+AT$54+AT$55)</f>
        <v>7.677658970476912</v>
      </c>
    </row>
    <row r="64" spans="3:46" s="14" customFormat="1" ht="15">
      <c r="C64" s="14" t="s">
        <v>47</v>
      </c>
      <c r="E64" s="14">
        <v>2011</v>
      </c>
      <c r="G64" s="1045"/>
      <c r="I64" s="42" t="s">
        <v>145</v>
      </c>
      <c r="K64" s="79">
        <v>0</v>
      </c>
      <c r="L64" s="79"/>
      <c r="M64" s="89">
        <v>4.105296145408963</v>
      </c>
      <c r="N64" s="79">
        <v>0.7825958788649615</v>
      </c>
      <c r="O64" s="80">
        <v>1.4098389216990213</v>
      </c>
      <c r="P64" s="438" t="s">
        <v>158</v>
      </c>
      <c r="Q64" s="80">
        <v>9.0085061961903</v>
      </c>
      <c r="R64" s="79">
        <v>1.5642978234586251</v>
      </c>
      <c r="S64" s="80">
        <v>0.4202951136913401</v>
      </c>
      <c r="T64" s="79">
        <v>0.5195486437437515</v>
      </c>
      <c r="U64" s="80">
        <v>1.3713001460554046</v>
      </c>
      <c r="V64" s="79">
        <v>1.5141532315049289</v>
      </c>
      <c r="W64" s="80">
        <v>0.6651426504965968</v>
      </c>
      <c r="X64" s="79">
        <v>1.5515781205460273</v>
      </c>
      <c r="Y64" s="80">
        <v>3.1688435623445366</v>
      </c>
      <c r="Z64" s="79">
        <v>0.25269606079624923</v>
      </c>
      <c r="AA64" s="80">
        <v>0.8683184566481394</v>
      </c>
      <c r="AB64" s="79" t="s">
        <v>158</v>
      </c>
      <c r="AC64" s="80" t="s">
        <v>158</v>
      </c>
      <c r="AD64" s="79">
        <v>0.8790775321025308</v>
      </c>
      <c r="AE64" s="80" t="s">
        <v>158</v>
      </c>
      <c r="AF64" s="79">
        <v>0.9232186250679784</v>
      </c>
      <c r="AG64" s="80">
        <v>1.2354685150969755</v>
      </c>
      <c r="AH64" s="79">
        <v>1.1584506751804526</v>
      </c>
      <c r="AI64" s="80">
        <v>7.1414417793914415</v>
      </c>
      <c r="AJ64" s="79">
        <v>1.7774968893804435</v>
      </c>
      <c r="AK64" s="80" t="s">
        <v>158</v>
      </c>
      <c r="AL64" s="79">
        <v>0.8740462102480133</v>
      </c>
      <c r="AM64" s="1133">
        <f>100*AM54/(AM$51+AM$53+AM$54+AM$55)</f>
        <v>1.4197784160853508</v>
      </c>
      <c r="AN64" s="22"/>
      <c r="AO64" s="80">
        <f>100*AO54/(AO$51+AO$53+AO$54+AO$55)</f>
        <v>1.5909872721018232</v>
      </c>
      <c r="AP64" s="79">
        <f>100*AP54/(AP$51+AP$53+AP$54+AP$55)</f>
        <v>1.3705179282868525</v>
      </c>
      <c r="AS64" s="79">
        <f>100*AS54/(AS$51+AS$53+AS$54+AS$55)</f>
        <v>0</v>
      </c>
      <c r="AT64" s="79">
        <f>100*AT54/(AT$51+AT$53+AT$54+AT$55)</f>
        <v>1.1579769114307343</v>
      </c>
    </row>
    <row r="65" spans="3:46" s="14" customFormat="1" ht="15">
      <c r="C65" s="14" t="s">
        <v>355</v>
      </c>
      <c r="E65" s="31">
        <v>2011</v>
      </c>
      <c r="F65" s="15"/>
      <c r="G65" s="1045"/>
      <c r="I65" s="44" t="s">
        <v>26</v>
      </c>
      <c r="K65" s="36">
        <v>9952</v>
      </c>
      <c r="L65" s="36"/>
      <c r="M65" s="72">
        <v>11716</v>
      </c>
      <c r="N65" s="36">
        <v>13111</v>
      </c>
      <c r="O65" s="81">
        <v>8441</v>
      </c>
      <c r="P65" s="36">
        <v>8418</v>
      </c>
      <c r="Q65" s="81">
        <v>9210</v>
      </c>
      <c r="R65" s="36">
        <v>12966</v>
      </c>
      <c r="S65" s="81">
        <v>11853</v>
      </c>
      <c r="T65" s="36">
        <v>9525</v>
      </c>
      <c r="U65" s="81">
        <v>10815</v>
      </c>
      <c r="V65" s="36">
        <v>9067</v>
      </c>
      <c r="W65" s="81">
        <v>14335</v>
      </c>
      <c r="X65" s="36">
        <v>15250</v>
      </c>
      <c r="Y65" s="81">
        <v>7935</v>
      </c>
      <c r="Z65" s="36">
        <v>11916</v>
      </c>
      <c r="AA65" s="81">
        <v>13474</v>
      </c>
      <c r="AB65" s="36">
        <v>10987</v>
      </c>
      <c r="AC65" s="81">
        <v>15106</v>
      </c>
      <c r="AD65" s="36">
        <v>6953</v>
      </c>
      <c r="AE65" s="81">
        <v>6501</v>
      </c>
      <c r="AF65" s="36">
        <v>10121</v>
      </c>
      <c r="AG65" s="81">
        <v>9249</v>
      </c>
      <c r="AH65" s="36">
        <v>9400</v>
      </c>
      <c r="AI65" s="81">
        <v>4631</v>
      </c>
      <c r="AJ65" s="36">
        <v>13883</v>
      </c>
      <c r="AK65" s="81">
        <v>14354</v>
      </c>
      <c r="AL65" s="36">
        <v>6495</v>
      </c>
      <c r="AM65" s="71">
        <v>12185</v>
      </c>
      <c r="AN65" s="22"/>
      <c r="AO65" s="81">
        <f>AO51+AO53+AO55+AO54</f>
        <v>11628</v>
      </c>
      <c r="AP65" s="36">
        <f>AP51+AP53+AP55+AP54</f>
        <v>12550</v>
      </c>
      <c r="AQ65" s="25"/>
      <c r="AR65" s="25"/>
      <c r="AS65" s="36">
        <f>AS51+AS53+AS55+AS54</f>
        <v>9986</v>
      </c>
      <c r="AT65" s="36">
        <f>AT51+AT53+AT55+AT54</f>
        <v>10145.279999999999</v>
      </c>
    </row>
    <row r="66" spans="9:41" s="14" customFormat="1" ht="9.75" customHeight="1">
      <c r="I66" s="42"/>
      <c r="K66" s="15"/>
      <c r="M66" s="76"/>
      <c r="O66" s="42"/>
      <c r="Q66" s="42"/>
      <c r="S66" s="42"/>
      <c r="U66" s="42"/>
      <c r="W66" s="42"/>
      <c r="Y66" s="42"/>
      <c r="AA66" s="42"/>
      <c r="AC66" s="42"/>
      <c r="AE66" s="42"/>
      <c r="AG66" s="42"/>
      <c r="AI66" s="42"/>
      <c r="AK66" s="42"/>
      <c r="AM66" s="42"/>
      <c r="AO66" s="42"/>
    </row>
    <row r="67" spans="2:41" s="14" customFormat="1" ht="15.75">
      <c r="B67" s="1" t="s">
        <v>115</v>
      </c>
      <c r="I67" s="42"/>
      <c r="K67" s="15"/>
      <c r="M67" s="76"/>
      <c r="O67" s="42"/>
      <c r="Q67" s="42"/>
      <c r="S67" s="42"/>
      <c r="U67" s="42"/>
      <c r="W67" s="42"/>
      <c r="Y67" s="42"/>
      <c r="AA67" s="42"/>
      <c r="AC67" s="42"/>
      <c r="AE67" s="42"/>
      <c r="AG67" s="42"/>
      <c r="AI67" s="42"/>
      <c r="AK67" s="42"/>
      <c r="AM67" s="42"/>
      <c r="AO67" s="42"/>
    </row>
    <row r="68" spans="3:49" s="14" customFormat="1" ht="15">
      <c r="C68" s="14" t="s">
        <v>0</v>
      </c>
      <c r="E68" s="14">
        <v>2011</v>
      </c>
      <c r="I68" s="43" t="s">
        <v>146</v>
      </c>
      <c r="J68" s="551"/>
      <c r="K68" s="137">
        <v>8.1412</v>
      </c>
      <c r="L68" s="551"/>
      <c r="M68" s="73">
        <v>17.370136000000002</v>
      </c>
      <c r="N68" s="17">
        <v>17.113287</v>
      </c>
      <c r="O68" s="52">
        <v>5.084916999999998</v>
      </c>
      <c r="P68" s="17">
        <v>5.605728999999999</v>
      </c>
      <c r="Q68" s="52">
        <v>8.863531</v>
      </c>
      <c r="R68" s="17">
        <v>113.25272800000002</v>
      </c>
      <c r="S68" s="52">
        <v>18.841099000000007</v>
      </c>
      <c r="T68" s="17">
        <v>1.5887959999999999</v>
      </c>
      <c r="U68" s="52">
        <v>27.740281999999997</v>
      </c>
      <c r="V68" s="17">
        <v>141.366015</v>
      </c>
      <c r="W68" s="52">
        <v>12.842099000000001</v>
      </c>
      <c r="X68" s="17">
        <v>84.864606</v>
      </c>
      <c r="Y68" s="52">
        <v>6.86812</v>
      </c>
      <c r="Z68" s="17">
        <v>20.484248</v>
      </c>
      <c r="AA68" s="52">
        <v>95.33521100000003</v>
      </c>
      <c r="AB68" s="17">
        <v>2.3131060000000008</v>
      </c>
      <c r="AC68" s="52">
        <v>1.508647</v>
      </c>
      <c r="AD68" s="17">
        <v>3.664392</v>
      </c>
      <c r="AE68" s="52">
        <v>3.1662430000000006</v>
      </c>
      <c r="AF68" s="17">
        <v>31.863639</v>
      </c>
      <c r="AG68" s="52">
        <v>16.413421000000003</v>
      </c>
      <c r="AH68" s="17">
        <v>22.345753000000002</v>
      </c>
      <c r="AI68" s="52">
        <v>8.612733000000002</v>
      </c>
      <c r="AJ68" s="17">
        <v>24.174938</v>
      </c>
      <c r="AK68" s="52">
        <v>0.8058559999999999</v>
      </c>
      <c r="AL68" s="17">
        <v>1.46875</v>
      </c>
      <c r="AM68" s="52">
        <v>135.632501</v>
      </c>
      <c r="AN68" s="17"/>
      <c r="AO68" s="52">
        <v>829.1907830000002</v>
      </c>
      <c r="AP68" s="19">
        <v>764.735189</v>
      </c>
      <c r="AQ68" s="551"/>
      <c r="AR68" s="551"/>
      <c r="AS68" s="137">
        <v>8.0222</v>
      </c>
      <c r="AU68" s="22">
        <v>114.251</v>
      </c>
      <c r="AW68" s="20">
        <v>-61.48250000000007</v>
      </c>
    </row>
    <row r="69" spans="3:47" s="14" customFormat="1" ht="15">
      <c r="C69" s="14" t="s">
        <v>39</v>
      </c>
      <c r="E69" s="14">
        <v>2011</v>
      </c>
      <c r="I69" s="44" t="s">
        <v>26</v>
      </c>
      <c r="K69" s="137">
        <f>K68/5.222</f>
        <v>1.559019532746074</v>
      </c>
      <c r="M69" s="90">
        <f>M68/M11</f>
        <v>2.0573373170589</v>
      </c>
      <c r="N69" s="17">
        <f aca="true" t="shared" si="9" ref="N69:AP69">N68/N11</f>
        <v>1.5499388385353636</v>
      </c>
      <c r="O69" s="52">
        <f t="shared" si="9"/>
        <v>0.6939759177554826</v>
      </c>
      <c r="P69" s="17">
        <f t="shared" si="9"/>
        <v>6.503082907294686</v>
      </c>
      <c r="Q69" s="52">
        <f t="shared" si="9"/>
        <v>0.8437082865123753</v>
      </c>
      <c r="R69" s="17">
        <f t="shared" si="9"/>
        <v>1.3837676998716935</v>
      </c>
      <c r="S69" s="52">
        <f t="shared" si="9"/>
        <v>3.3762288290186797</v>
      </c>
      <c r="T69" s="17">
        <f t="shared" si="9"/>
        <v>1.1859678038191723</v>
      </c>
      <c r="U69" s="52">
        <f t="shared" si="9"/>
        <v>2.456863138438048</v>
      </c>
      <c r="V69" s="17">
        <f t="shared" si="9"/>
        <v>3.0601171185313727</v>
      </c>
      <c r="W69" s="52">
        <f t="shared" si="9"/>
        <v>2.3776086240506165</v>
      </c>
      <c r="X69" s="17">
        <f t="shared" si="9"/>
        <v>1.3372766935313483</v>
      </c>
      <c r="Y69" s="52">
        <f t="shared" si="9"/>
        <v>0.6897274087841898</v>
      </c>
      <c r="Z69" s="17">
        <f t="shared" si="9"/>
        <v>4.469840832038447</v>
      </c>
      <c r="AA69" s="52">
        <f t="shared" si="9"/>
        <v>1.567478024445731</v>
      </c>
      <c r="AB69" s="17">
        <f t="shared" si="9"/>
        <v>0.769046578880349</v>
      </c>
      <c r="AC69" s="52">
        <f t="shared" si="9"/>
        <v>2.8744181704210514</v>
      </c>
      <c r="AD69" s="17">
        <f t="shared" si="9"/>
        <v>1.7947195634361088</v>
      </c>
      <c r="AE69" s="52">
        <f t="shared" si="9"/>
        <v>7.609149023094856</v>
      </c>
      <c r="AF69" s="17">
        <f t="shared" si="9"/>
        <v>1.90454131617585</v>
      </c>
      <c r="AG69" s="52">
        <f t="shared" si="9"/>
        <v>0.42589731236445527</v>
      </c>
      <c r="AH69" s="17">
        <f t="shared" si="9"/>
        <v>2.119720371396265</v>
      </c>
      <c r="AI69" s="52">
        <f t="shared" si="9"/>
        <v>0.4032962117310345</v>
      </c>
      <c r="AJ69" s="17">
        <f t="shared" si="9"/>
        <v>2.5493311877066556</v>
      </c>
      <c r="AK69" s="52">
        <f t="shared" si="9"/>
        <v>0.39204941289109774</v>
      </c>
      <c r="AL69" s="17">
        <f t="shared" si="9"/>
        <v>0.2717732215067866</v>
      </c>
      <c r="AM69" s="52">
        <f t="shared" si="9"/>
        <v>2.1532540080060896</v>
      </c>
      <c r="AN69" s="17"/>
      <c r="AO69" s="52">
        <f t="shared" si="9"/>
        <v>1.6526205308295288</v>
      </c>
      <c r="AP69" s="17">
        <f t="shared" si="9"/>
        <v>1.916961050908553</v>
      </c>
      <c r="AQ69" s="17"/>
      <c r="AR69" s="17"/>
      <c r="AS69" s="137">
        <f>AS68/5.194</f>
        <v>1.5445128994994224</v>
      </c>
      <c r="AT69" s="17"/>
      <c r="AU69" s="17">
        <f>AU68/AU11</f>
        <v>1.7934385056118045</v>
      </c>
    </row>
    <row r="70" spans="9:45" s="14" customFormat="1" ht="6" customHeight="1">
      <c r="I70" s="42"/>
      <c r="K70" s="15"/>
      <c r="M70" s="76"/>
      <c r="O70" s="42"/>
      <c r="Q70" s="42"/>
      <c r="S70" s="42"/>
      <c r="U70" s="42"/>
      <c r="W70" s="42"/>
      <c r="Y70" s="42"/>
      <c r="AA70" s="42"/>
      <c r="AC70" s="42"/>
      <c r="AE70" s="42"/>
      <c r="AG70" s="42"/>
      <c r="AI70" s="42"/>
      <c r="AK70" s="42"/>
      <c r="AM70" s="42"/>
      <c r="AO70" s="42"/>
      <c r="AS70" s="15"/>
    </row>
    <row r="71" spans="2:47" s="14" customFormat="1" ht="15.75">
      <c r="B71" s="1" t="s">
        <v>36</v>
      </c>
      <c r="I71" s="42"/>
      <c r="K71" s="15"/>
      <c r="M71" s="76"/>
      <c r="O71" s="42"/>
      <c r="Q71" s="42"/>
      <c r="S71" s="42"/>
      <c r="U71" s="42"/>
      <c r="W71" s="42"/>
      <c r="Y71" s="42"/>
      <c r="AA71" s="42"/>
      <c r="AC71" s="42"/>
      <c r="AE71" s="42"/>
      <c r="AG71" s="42"/>
      <c r="AI71" s="42"/>
      <c r="AK71" s="42"/>
      <c r="AM71" s="42"/>
      <c r="AO71" s="42"/>
      <c r="AS71" s="556"/>
      <c r="AT71" s="551"/>
      <c r="AU71" s="551"/>
    </row>
    <row r="72" spans="3:49" s="14" customFormat="1" ht="15">
      <c r="C72" s="14" t="s">
        <v>37</v>
      </c>
      <c r="E72" s="14">
        <v>2011</v>
      </c>
      <c r="G72" s="21"/>
      <c r="I72" s="43" t="s">
        <v>147</v>
      </c>
      <c r="K72" s="36">
        <v>185</v>
      </c>
      <c r="M72" s="84">
        <v>523</v>
      </c>
      <c r="N72" s="25">
        <v>858</v>
      </c>
      <c r="O72" s="51">
        <v>657</v>
      </c>
      <c r="P72" s="25">
        <v>71</v>
      </c>
      <c r="Q72" s="51">
        <v>772</v>
      </c>
      <c r="R72" s="25">
        <v>4009</v>
      </c>
      <c r="S72" s="51">
        <v>220</v>
      </c>
      <c r="T72" s="25">
        <v>101</v>
      </c>
      <c r="U72" s="51">
        <v>1141</v>
      </c>
      <c r="V72" s="25">
        <v>2060</v>
      </c>
      <c r="W72" s="51">
        <v>292</v>
      </c>
      <c r="X72" s="25">
        <v>3963</v>
      </c>
      <c r="Y72" s="51">
        <v>638</v>
      </c>
      <c r="Z72" s="25">
        <v>186</v>
      </c>
      <c r="AA72" s="51">
        <v>3860</v>
      </c>
      <c r="AB72" s="25">
        <v>296</v>
      </c>
      <c r="AC72" s="51">
        <v>33</v>
      </c>
      <c r="AD72" s="25">
        <v>179</v>
      </c>
      <c r="AE72" s="51">
        <v>21</v>
      </c>
      <c r="AF72" s="25">
        <v>546</v>
      </c>
      <c r="AG72" s="51">
        <v>4189</v>
      </c>
      <c r="AH72" s="25">
        <v>891</v>
      </c>
      <c r="AI72" s="51">
        <v>2018</v>
      </c>
      <c r="AJ72" s="25">
        <v>319</v>
      </c>
      <c r="AK72" s="51">
        <v>141</v>
      </c>
      <c r="AL72" s="25">
        <v>324</v>
      </c>
      <c r="AM72" s="51">
        <v>1960</v>
      </c>
      <c r="AN72" s="25"/>
      <c r="AO72" s="59">
        <v>30268</v>
      </c>
      <c r="AP72" s="91">
        <v>20861</v>
      </c>
      <c r="AS72" s="36">
        <v>185</v>
      </c>
      <c r="AT72" s="25">
        <v>1900</v>
      </c>
      <c r="AU72" s="25">
        <f>AM72</f>
        <v>1960</v>
      </c>
      <c r="AW72" s="25">
        <v>-13446</v>
      </c>
    </row>
    <row r="73" spans="3:52" s="14" customFormat="1" ht="12" customHeight="1">
      <c r="C73" s="14" t="s">
        <v>38</v>
      </c>
      <c r="E73" s="14">
        <v>2011</v>
      </c>
      <c r="I73" s="44" t="s">
        <v>26</v>
      </c>
      <c r="K73" s="36">
        <f>K72/5.222</f>
        <v>35.427039448487164</v>
      </c>
      <c r="M73" s="86">
        <f>M72/M11</f>
        <v>61.94467428590108</v>
      </c>
      <c r="N73" s="24">
        <f aca="true" t="shared" si="10" ref="N73:AO73">N72/N11</f>
        <v>77.7084801688502</v>
      </c>
      <c r="O73" s="49">
        <f t="shared" si="10"/>
        <v>89.66560869437048</v>
      </c>
      <c r="P73" s="24">
        <f t="shared" si="10"/>
        <v>82.36553825879253</v>
      </c>
      <c r="Q73" s="49">
        <f t="shared" si="10"/>
        <v>73.48570193837577</v>
      </c>
      <c r="R73" s="24">
        <f t="shared" si="10"/>
        <v>48.98358570917266</v>
      </c>
      <c r="S73" s="49">
        <f t="shared" si="10"/>
        <v>39.42287774105477</v>
      </c>
      <c r="T73" s="24">
        <f t="shared" si="10"/>
        <v>75.39215115454496</v>
      </c>
      <c r="U73" s="49">
        <f t="shared" si="10"/>
        <v>101.0545185141886</v>
      </c>
      <c r="V73" s="24">
        <f t="shared" si="10"/>
        <v>44.592339001524714</v>
      </c>
      <c r="W73" s="49">
        <f t="shared" si="10"/>
        <v>54.06138967023848</v>
      </c>
      <c r="X73" s="24">
        <f t="shared" si="10"/>
        <v>62.44803088421495</v>
      </c>
      <c r="Y73" s="49">
        <f t="shared" si="10"/>
        <v>64.0708209530866</v>
      </c>
      <c r="Z73" s="24">
        <f t="shared" si="10"/>
        <v>40.58681552572255</v>
      </c>
      <c r="AA73" s="49">
        <f t="shared" si="10"/>
        <v>63.46516791535207</v>
      </c>
      <c r="AB73" s="24">
        <f t="shared" si="10"/>
        <v>98.41217278783732</v>
      </c>
      <c r="AC73" s="49">
        <f t="shared" si="10"/>
        <v>62.87474778652308</v>
      </c>
      <c r="AD73" s="24">
        <f t="shared" si="10"/>
        <v>87.66933282658174</v>
      </c>
      <c r="AE73" s="49">
        <f t="shared" si="10"/>
        <v>50.46742447910408</v>
      </c>
      <c r="AF73" s="24">
        <f t="shared" si="10"/>
        <v>32.63530441805514</v>
      </c>
      <c r="AG73" s="49">
        <f t="shared" si="10"/>
        <v>108.69664779174937</v>
      </c>
      <c r="AH73" s="24">
        <f t="shared" si="10"/>
        <v>84.52034938872151</v>
      </c>
      <c r="AI73" s="49">
        <f t="shared" si="10"/>
        <v>94.49401894534842</v>
      </c>
      <c r="AJ73" s="24">
        <f t="shared" si="10"/>
        <v>33.63965809874769</v>
      </c>
      <c r="AK73" s="49">
        <f t="shared" si="10"/>
        <v>68.59658204151212</v>
      </c>
      <c r="AL73" s="24">
        <f t="shared" si="10"/>
        <v>59.95201618260349</v>
      </c>
      <c r="AM73" s="49">
        <f t="shared" si="10"/>
        <v>31.116272461066956</v>
      </c>
      <c r="AN73" s="24"/>
      <c r="AO73" s="49">
        <f t="shared" si="10"/>
        <v>60.325704593786064</v>
      </c>
      <c r="AP73" s="24">
        <f>AP72/AP11</f>
        <v>52.29225104090683</v>
      </c>
      <c r="AQ73" s="24"/>
      <c r="AR73" s="24"/>
      <c r="AS73" s="36">
        <f>AS72/AS11</f>
        <v>34.816320385426074</v>
      </c>
      <c r="AT73" s="24">
        <f>AT72/AT11</f>
        <v>30.703894869863966</v>
      </c>
      <c r="AU73" s="25">
        <f>AM73</f>
        <v>31.116272461066956</v>
      </c>
      <c r="AZ73" s="14">
        <f>RANK(K73,K73:AM73,1)</f>
        <v>4</v>
      </c>
    </row>
    <row r="74" spans="9:47" s="14" customFormat="1" ht="6" customHeight="1">
      <c r="I74" s="42"/>
      <c r="K74" s="15"/>
      <c r="M74" s="76"/>
      <c r="O74" s="42"/>
      <c r="Q74" s="42"/>
      <c r="S74" s="42"/>
      <c r="U74" s="42"/>
      <c r="W74" s="42"/>
      <c r="Y74" s="42"/>
      <c r="AA74" s="42"/>
      <c r="AC74" s="42"/>
      <c r="AE74" s="42"/>
      <c r="AG74" s="42"/>
      <c r="AI74" s="42"/>
      <c r="AK74" s="42"/>
      <c r="AM74" s="42"/>
      <c r="AO74" s="42"/>
      <c r="AU74" s="25"/>
    </row>
    <row r="75" spans="2:41" s="14" customFormat="1" ht="14.25" customHeight="1">
      <c r="B75" s="1" t="s">
        <v>348</v>
      </c>
      <c r="I75" s="42"/>
      <c r="K75" s="15"/>
      <c r="M75" s="76"/>
      <c r="O75" s="42"/>
      <c r="Q75" s="42"/>
      <c r="S75" s="42"/>
      <c r="U75" s="42"/>
      <c r="W75" s="42"/>
      <c r="Y75" s="42"/>
      <c r="AA75" s="42"/>
      <c r="AC75" s="42"/>
      <c r="AE75" s="42"/>
      <c r="AG75" s="42"/>
      <c r="AI75" s="42"/>
      <c r="AK75" s="42"/>
      <c r="AM75" s="42"/>
      <c r="AO75" s="42"/>
    </row>
    <row r="76" spans="3:47" s="14" customFormat="1" ht="15.75" customHeight="1">
      <c r="C76" s="14" t="s">
        <v>42</v>
      </c>
      <c r="E76" s="14">
        <v>2011</v>
      </c>
      <c r="I76" s="42" t="s">
        <v>305</v>
      </c>
      <c r="K76" s="1027">
        <v>12.7</v>
      </c>
      <c r="L76" s="31"/>
      <c r="M76" s="1028">
        <v>28.542</v>
      </c>
      <c r="N76" s="1027">
        <v>33.107</v>
      </c>
      <c r="O76" s="1029">
        <v>21.214</v>
      </c>
      <c r="P76" s="1027">
        <v>0.941</v>
      </c>
      <c r="Q76" s="1029">
        <v>54.83</v>
      </c>
      <c r="R76" s="1027">
        <v>323.833</v>
      </c>
      <c r="S76" s="1029">
        <v>16.12</v>
      </c>
      <c r="T76" s="1027">
        <v>5.912</v>
      </c>
      <c r="U76" s="1029">
        <v>20.597</v>
      </c>
      <c r="V76" s="1027">
        <v>206.843</v>
      </c>
      <c r="W76" s="1029">
        <v>26.863</v>
      </c>
      <c r="X76" s="1027">
        <v>185.685</v>
      </c>
      <c r="Y76" s="1029">
        <v>34.529</v>
      </c>
      <c r="Z76" s="1027">
        <v>10.108</v>
      </c>
      <c r="AA76" s="1029">
        <v>142.843</v>
      </c>
      <c r="AB76" s="1027">
        <v>21.512</v>
      </c>
      <c r="AC76" s="1029">
        <v>8.835</v>
      </c>
      <c r="AD76" s="1027">
        <v>12.131</v>
      </c>
      <c r="AE76" s="1029">
        <v>0.25</v>
      </c>
      <c r="AF76" s="1027">
        <v>73.411</v>
      </c>
      <c r="AG76" s="1029">
        <v>207.651</v>
      </c>
      <c r="AH76" s="1027">
        <v>36.453</v>
      </c>
      <c r="AI76" s="1029">
        <v>26.349</v>
      </c>
      <c r="AJ76" s="1027">
        <v>36.932</v>
      </c>
      <c r="AK76" s="1029">
        <v>16.439</v>
      </c>
      <c r="AL76" s="1027">
        <v>29.179</v>
      </c>
      <c r="AM76" s="1029">
        <v>152.994</v>
      </c>
      <c r="AN76" s="1030"/>
      <c r="AO76" s="1031">
        <v>1734.103</v>
      </c>
      <c r="AP76" s="1032">
        <v>1303.166</v>
      </c>
      <c r="AQ76" s="31"/>
      <c r="AR76" s="31"/>
      <c r="AS76" s="1027">
        <f>K76</f>
        <v>12.7</v>
      </c>
      <c r="AT76" s="1027"/>
      <c r="AU76" s="1027">
        <f>AM76</f>
        <v>152.994</v>
      </c>
    </row>
    <row r="77" spans="3:47" s="14" customFormat="1" ht="15.75" customHeight="1">
      <c r="C77" s="14" t="s">
        <v>43</v>
      </c>
      <c r="E77" s="14">
        <v>2011</v>
      </c>
      <c r="I77" s="42" t="s">
        <v>316</v>
      </c>
      <c r="K77" s="1027">
        <v>2</v>
      </c>
      <c r="L77" s="31"/>
      <c r="M77" s="1028">
        <v>20.345</v>
      </c>
      <c r="N77" s="1027">
        <v>7.593</v>
      </c>
      <c r="O77" s="1029">
        <v>3.291</v>
      </c>
      <c r="P77" s="1027" t="s">
        <v>158</v>
      </c>
      <c r="Q77" s="1029">
        <v>14.316</v>
      </c>
      <c r="R77" s="1027">
        <v>113.317</v>
      </c>
      <c r="S77" s="1029">
        <v>2.615</v>
      </c>
      <c r="T77" s="1027">
        <v>6.271</v>
      </c>
      <c r="U77" s="1029">
        <v>0.352</v>
      </c>
      <c r="V77" s="1027">
        <v>9.748</v>
      </c>
      <c r="W77" s="1029">
        <v>9.395</v>
      </c>
      <c r="X77" s="1027">
        <v>34.202</v>
      </c>
      <c r="Y77" s="1029">
        <v>9.118</v>
      </c>
      <c r="Z77" s="1027">
        <v>0.105</v>
      </c>
      <c r="AA77" s="1029">
        <v>19.787</v>
      </c>
      <c r="AB77" s="1027">
        <v>15.088</v>
      </c>
      <c r="AC77" s="1029">
        <v>0.288</v>
      </c>
      <c r="AD77" s="1027">
        <v>21.41</v>
      </c>
      <c r="AE77" s="1029" t="s">
        <v>158</v>
      </c>
      <c r="AF77" s="1027">
        <v>6.378</v>
      </c>
      <c r="AG77" s="1029">
        <v>53.746</v>
      </c>
      <c r="AH77" s="1027">
        <v>2.322</v>
      </c>
      <c r="AI77" s="1029">
        <v>14.719</v>
      </c>
      <c r="AJ77" s="1027">
        <v>22.864</v>
      </c>
      <c r="AK77" s="1029">
        <v>3.752</v>
      </c>
      <c r="AL77" s="1027">
        <v>7.96</v>
      </c>
      <c r="AM77" s="1029">
        <v>20.974</v>
      </c>
      <c r="AN77" s="1030"/>
      <c r="AO77" s="1031">
        <v>419.95599999999985</v>
      </c>
      <c r="AP77" s="1032">
        <v>270.28499999999997</v>
      </c>
      <c r="AQ77" s="31"/>
      <c r="AR77" s="31"/>
      <c r="AS77" s="1027">
        <f>K77</f>
        <v>2</v>
      </c>
      <c r="AT77" s="1027"/>
      <c r="AU77" s="1027">
        <f>AM77</f>
        <v>20.974</v>
      </c>
    </row>
    <row r="78" spans="3:47" s="14" customFormat="1" ht="15.75" customHeight="1">
      <c r="C78" s="14" t="s">
        <v>44</v>
      </c>
      <c r="E78" s="14">
        <v>2011</v>
      </c>
      <c r="I78" s="42" t="s">
        <v>324</v>
      </c>
      <c r="K78" s="1027">
        <v>0.27</v>
      </c>
      <c r="L78" s="31"/>
      <c r="M78" s="1028">
        <v>2.123</v>
      </c>
      <c r="N78" s="1027">
        <v>9.251</v>
      </c>
      <c r="O78" s="1029">
        <v>4.31</v>
      </c>
      <c r="P78" s="1027" t="s">
        <v>158</v>
      </c>
      <c r="Q78" s="1029">
        <v>0.042</v>
      </c>
      <c r="R78" s="1027">
        <v>55.027</v>
      </c>
      <c r="S78" s="1029" t="s">
        <v>158</v>
      </c>
      <c r="T78" s="1027" t="s">
        <v>158</v>
      </c>
      <c r="U78" s="1029" t="s">
        <v>158</v>
      </c>
      <c r="V78" s="1027" t="s">
        <v>158</v>
      </c>
      <c r="W78" s="1029">
        <v>0.09</v>
      </c>
      <c r="X78" s="1027">
        <v>9.035</v>
      </c>
      <c r="Y78" s="1029">
        <v>1.84</v>
      </c>
      <c r="Z78" s="1027" t="s">
        <v>158</v>
      </c>
      <c r="AA78" s="1029">
        <v>0.144</v>
      </c>
      <c r="AB78" s="1027">
        <v>0.003</v>
      </c>
      <c r="AC78" s="1029">
        <v>0.305</v>
      </c>
      <c r="AD78" s="1027" t="s">
        <v>158</v>
      </c>
      <c r="AE78" s="1029" t="s">
        <v>158</v>
      </c>
      <c r="AF78" s="1027">
        <v>46.316</v>
      </c>
      <c r="AG78" s="1029">
        <v>0.161</v>
      </c>
      <c r="AH78" s="1027" t="s">
        <v>158</v>
      </c>
      <c r="AI78" s="1029">
        <v>11.409</v>
      </c>
      <c r="AJ78" s="1027" t="s">
        <v>158</v>
      </c>
      <c r="AK78" s="1029" t="s">
        <v>158</v>
      </c>
      <c r="AL78" s="1027">
        <v>0.931</v>
      </c>
      <c r="AM78" s="1029">
        <v>0.14</v>
      </c>
      <c r="AN78" s="1030"/>
      <c r="AO78" s="1031">
        <v>141.127</v>
      </c>
      <c r="AP78" s="1032">
        <v>122.43100000000003</v>
      </c>
      <c r="AQ78" s="31"/>
      <c r="AR78" s="31"/>
      <c r="AS78" s="1027">
        <f>K78</f>
        <v>0.27</v>
      </c>
      <c r="AT78" s="1027"/>
      <c r="AU78" s="1027">
        <f>AM78</f>
        <v>0.14</v>
      </c>
    </row>
    <row r="79" spans="3:47" s="14" customFormat="1" ht="15.75" customHeight="1">
      <c r="C79" s="14" t="s">
        <v>45</v>
      </c>
      <c r="E79" s="14">
        <v>2011</v>
      </c>
      <c r="I79" s="42" t="s">
        <v>332</v>
      </c>
      <c r="K79" s="1027">
        <v>5.75</v>
      </c>
      <c r="L79" s="31"/>
      <c r="M79" s="1028">
        <v>7.228</v>
      </c>
      <c r="N79" s="1027">
        <v>1.4646666666666668</v>
      </c>
      <c r="O79" s="1029">
        <v>0.4808</v>
      </c>
      <c r="P79" s="1027" t="s">
        <v>158</v>
      </c>
      <c r="Q79" s="1029">
        <v>1.9537</v>
      </c>
      <c r="R79" s="1027">
        <v>15.623</v>
      </c>
      <c r="S79" s="1029">
        <v>3.265</v>
      </c>
      <c r="T79" s="1027" t="s">
        <v>158</v>
      </c>
      <c r="U79" s="1029">
        <v>0.2313333333333333</v>
      </c>
      <c r="V79" s="1027">
        <v>8.601</v>
      </c>
      <c r="W79" s="1029" t="s">
        <v>158</v>
      </c>
      <c r="X79" s="1027">
        <v>18.1</v>
      </c>
      <c r="Y79" s="1029">
        <v>3.119</v>
      </c>
      <c r="Z79" s="1027" t="s">
        <v>158</v>
      </c>
      <c r="AA79" s="1029">
        <v>9.952</v>
      </c>
      <c r="AB79" s="1027">
        <v>0.5913999999999999</v>
      </c>
      <c r="AC79" s="1029" t="s">
        <v>158</v>
      </c>
      <c r="AD79" s="1027">
        <v>2.439</v>
      </c>
      <c r="AE79" s="1029" t="s">
        <v>158</v>
      </c>
      <c r="AF79" s="1027">
        <v>5.502</v>
      </c>
      <c r="AG79" s="1029">
        <v>23.461</v>
      </c>
      <c r="AH79" s="1027">
        <v>0.36002080123266567</v>
      </c>
      <c r="AI79" s="1029">
        <v>1.1195</v>
      </c>
      <c r="AJ79" s="1027" t="s">
        <v>158</v>
      </c>
      <c r="AK79" s="1029" t="s">
        <v>158</v>
      </c>
      <c r="AL79" s="1027">
        <v>4.96</v>
      </c>
      <c r="AM79" s="1029">
        <v>10.1</v>
      </c>
      <c r="AN79" s="1030"/>
      <c r="AO79" s="1031">
        <v>118.55142080123264</v>
      </c>
      <c r="AP79" s="1032">
        <v>81.1865</v>
      </c>
      <c r="AQ79" s="31"/>
      <c r="AR79" s="31"/>
      <c r="AS79" s="1027">
        <f>K79</f>
        <v>5.75</v>
      </c>
      <c r="AT79" s="1027"/>
      <c r="AU79" s="1027">
        <f>AM79</f>
        <v>10.1</v>
      </c>
    </row>
    <row r="80" spans="3:47" s="14" customFormat="1" ht="15.75" customHeight="1">
      <c r="C80" s="14" t="s">
        <v>32</v>
      </c>
      <c r="E80" s="14">
        <v>2011</v>
      </c>
      <c r="G80" s="21"/>
      <c r="I80" s="42" t="s">
        <v>26</v>
      </c>
      <c r="K80" s="1027">
        <v>20.72</v>
      </c>
      <c r="L80" s="31"/>
      <c r="M80" s="1028">
        <v>58.238</v>
      </c>
      <c r="N80" s="1027">
        <v>51.41566666666667</v>
      </c>
      <c r="O80" s="1029">
        <v>29.295799999999996</v>
      </c>
      <c r="P80" s="1027">
        <v>0.941</v>
      </c>
      <c r="Q80" s="1029">
        <v>71.1417</v>
      </c>
      <c r="R80" s="1027">
        <v>507.8</v>
      </c>
      <c r="S80" s="1029">
        <v>22</v>
      </c>
      <c r="T80" s="1027">
        <v>12.183</v>
      </c>
      <c r="U80" s="1029">
        <v>21.180333333333333</v>
      </c>
      <c r="V80" s="1027">
        <v>225.19199999999998</v>
      </c>
      <c r="W80" s="1029">
        <v>36.348</v>
      </c>
      <c r="X80" s="1027">
        <v>247.022</v>
      </c>
      <c r="Y80" s="1029">
        <v>48.60600000000001</v>
      </c>
      <c r="Z80" s="1027">
        <v>10.213000000000001</v>
      </c>
      <c r="AA80" s="1029">
        <v>172.726</v>
      </c>
      <c r="AB80" s="1027">
        <v>37.1944</v>
      </c>
      <c r="AC80" s="1029">
        <v>9.428</v>
      </c>
      <c r="AD80" s="1027">
        <v>35.98</v>
      </c>
      <c r="AE80" s="1029">
        <v>0.25</v>
      </c>
      <c r="AF80" s="1027">
        <v>131.607</v>
      </c>
      <c r="AG80" s="1029">
        <v>285.019</v>
      </c>
      <c r="AH80" s="1027">
        <v>39.13502080123267</v>
      </c>
      <c r="AI80" s="1029">
        <v>53.5965</v>
      </c>
      <c r="AJ80" s="1027">
        <v>59.79600000000001</v>
      </c>
      <c r="AK80" s="1029">
        <v>20.191</v>
      </c>
      <c r="AL80" s="1027">
        <v>43.029999999999994</v>
      </c>
      <c r="AM80" s="1029">
        <v>184.20799999999997</v>
      </c>
      <c r="AN80" s="1027"/>
      <c r="AO80" s="1031">
        <v>2413.7374208012325</v>
      </c>
      <c r="AP80" s="1032">
        <v>1777.0685</v>
      </c>
      <c r="AQ80" s="31"/>
      <c r="AR80" s="31"/>
      <c r="AS80" s="1027">
        <f>K80</f>
        <v>20.72</v>
      </c>
      <c r="AT80" s="1027"/>
      <c r="AU80" s="1027">
        <f>AM80</f>
        <v>184.20799999999997</v>
      </c>
    </row>
    <row r="81" spans="9:41" s="14" customFormat="1" ht="6" customHeight="1">
      <c r="I81" s="42"/>
      <c r="K81" s="15"/>
      <c r="M81" s="76"/>
      <c r="O81" s="42"/>
      <c r="Q81" s="42"/>
      <c r="S81" s="42"/>
      <c r="U81" s="42"/>
      <c r="W81" s="42"/>
      <c r="Y81" s="42"/>
      <c r="AA81" s="42"/>
      <c r="AC81" s="42"/>
      <c r="AE81" s="42"/>
      <c r="AG81" s="42"/>
      <c r="AI81" s="42"/>
      <c r="AK81" s="42"/>
      <c r="AM81" s="42"/>
      <c r="AO81" s="42"/>
    </row>
    <row r="82" spans="2:41" s="14" customFormat="1" ht="15.75">
      <c r="B82" s="1" t="s">
        <v>116</v>
      </c>
      <c r="I82" s="42"/>
      <c r="K82" s="15"/>
      <c r="M82" s="76"/>
      <c r="O82" s="42"/>
      <c r="Q82" s="42"/>
      <c r="S82" s="42"/>
      <c r="U82" s="42"/>
      <c r="W82" s="42"/>
      <c r="Y82" s="42"/>
      <c r="AA82" s="42"/>
      <c r="AC82" s="42"/>
      <c r="AE82" s="42"/>
      <c r="AG82" s="42"/>
      <c r="AI82" s="42"/>
      <c r="AK82" s="42"/>
      <c r="AM82" s="42"/>
      <c r="AO82" s="42"/>
    </row>
    <row r="83" spans="3:51" s="14" customFormat="1" ht="15">
      <c r="C83" s="14" t="s">
        <v>42</v>
      </c>
      <c r="E83" s="14">
        <v>2011</v>
      </c>
      <c r="I83" s="42" t="s">
        <v>141</v>
      </c>
      <c r="J83" s="551"/>
      <c r="K83" s="999">
        <v>61.293436293436294</v>
      </c>
      <c r="L83" s="1039"/>
      <c r="M83" s="994">
        <v>49.009237954600096</v>
      </c>
      <c r="N83" s="997">
        <v>64.39087956329783</v>
      </c>
      <c r="O83" s="994">
        <v>72.41311041173137</v>
      </c>
      <c r="P83" s="997">
        <v>100</v>
      </c>
      <c r="Q83" s="994">
        <v>77.07153469765271</v>
      </c>
      <c r="R83" s="997">
        <v>63.771760535643956</v>
      </c>
      <c r="S83" s="994">
        <v>73.27272727272727</v>
      </c>
      <c r="T83" s="997">
        <v>48.526635475662815</v>
      </c>
      <c r="U83" s="994">
        <v>97.2458727435829</v>
      </c>
      <c r="V83" s="997">
        <v>91.85184198372944</v>
      </c>
      <c r="W83" s="994">
        <v>73.9050291625399</v>
      </c>
      <c r="X83" s="997">
        <v>75.16941810850855</v>
      </c>
      <c r="Y83" s="994">
        <v>71.03855491091635</v>
      </c>
      <c r="Z83" s="997">
        <v>98.97189856065798</v>
      </c>
      <c r="AA83" s="994">
        <v>82.69918830980859</v>
      </c>
      <c r="AB83" s="997">
        <v>57.836663583765294</v>
      </c>
      <c r="AC83" s="994">
        <v>93.71022486211285</v>
      </c>
      <c r="AD83" s="997">
        <v>33.715953307392994</v>
      </c>
      <c r="AE83" s="994">
        <v>100</v>
      </c>
      <c r="AF83" s="997">
        <v>55.780467604306764</v>
      </c>
      <c r="AG83" s="994">
        <v>72.85514299046731</v>
      </c>
      <c r="AH83" s="997">
        <v>93.14675003022309</v>
      </c>
      <c r="AI83" s="994">
        <v>49.16179228121239</v>
      </c>
      <c r="AJ83" s="997">
        <v>61.76332865074587</v>
      </c>
      <c r="AK83" s="994">
        <v>81.4174632261899</v>
      </c>
      <c r="AL83" s="997">
        <v>67.81082965372995</v>
      </c>
      <c r="AM83" s="994">
        <v>83.05502475462522</v>
      </c>
      <c r="AN83" s="995"/>
      <c r="AO83" s="50">
        <v>71.84306731360904</v>
      </c>
      <c r="AP83" s="22">
        <v>73.33234481394499</v>
      </c>
      <c r="AQ83" s="551"/>
      <c r="AR83" s="551"/>
      <c r="AS83" s="22">
        <f>K83</f>
        <v>61.293436293436294</v>
      </c>
      <c r="AT83" s="1034"/>
      <c r="AU83" s="997">
        <f>AM83</f>
        <v>83.05502475462522</v>
      </c>
      <c r="AY83" s="1041" t="s">
        <v>155</v>
      </c>
    </row>
    <row r="84" spans="3:51" s="14" customFormat="1" ht="15">
      <c r="C84" s="14" t="s">
        <v>43</v>
      </c>
      <c r="E84" s="14">
        <v>2011</v>
      </c>
      <c r="I84" s="42" t="s">
        <v>142</v>
      </c>
      <c r="J84" s="551"/>
      <c r="K84" s="999">
        <v>9.652509652509654</v>
      </c>
      <c r="L84" s="1039"/>
      <c r="M84" s="994">
        <v>34.93423537896219</v>
      </c>
      <c r="N84" s="997">
        <v>14.767872308699681</v>
      </c>
      <c r="O84" s="994">
        <v>11.233692201612518</v>
      </c>
      <c r="P84" s="997">
        <v>0</v>
      </c>
      <c r="Q84" s="994">
        <v>20.12321887163225</v>
      </c>
      <c r="R84" s="997">
        <v>22.315281606931862</v>
      </c>
      <c r="S84" s="994">
        <v>11.886363636363637</v>
      </c>
      <c r="T84" s="997">
        <v>51.47336452433719</v>
      </c>
      <c r="U84" s="994">
        <v>1.6619190758722713</v>
      </c>
      <c r="V84" s="997">
        <v>4.328750577285161</v>
      </c>
      <c r="W84" s="994">
        <v>25.847364366677674</v>
      </c>
      <c r="X84" s="997">
        <v>13.84573033980779</v>
      </c>
      <c r="Y84" s="994">
        <v>18.759000946385218</v>
      </c>
      <c r="Z84" s="997">
        <v>1.028101439342015</v>
      </c>
      <c r="AA84" s="994">
        <v>11.455715989486237</v>
      </c>
      <c r="AB84" s="997">
        <v>40.565246381175655</v>
      </c>
      <c r="AC84" s="994">
        <v>3.0547305897327104</v>
      </c>
      <c r="AD84" s="997">
        <v>59.505280711506394</v>
      </c>
      <c r="AE84" s="996">
        <v>0</v>
      </c>
      <c r="AF84" s="997">
        <v>4.846246780186464</v>
      </c>
      <c r="AG84" s="994">
        <v>18.856988481469656</v>
      </c>
      <c r="AH84" s="997">
        <v>5.933304627058898</v>
      </c>
      <c r="AI84" s="994">
        <v>27.462614163238268</v>
      </c>
      <c r="AJ84" s="997">
        <v>38.23667134925413</v>
      </c>
      <c r="AK84" s="994">
        <v>18.582536773810112</v>
      </c>
      <c r="AL84" s="997">
        <v>18.498721821984663</v>
      </c>
      <c r="AM84" s="994">
        <v>11.386041865717019</v>
      </c>
      <c r="AN84" s="995"/>
      <c r="AO84" s="50">
        <v>17.398578502403826</v>
      </c>
      <c r="AP84" s="22">
        <v>15.209599404862557</v>
      </c>
      <c r="AQ84" s="551"/>
      <c r="AR84" s="551"/>
      <c r="AS84" s="22">
        <f>K84</f>
        <v>9.652509652509654</v>
      </c>
      <c r="AT84" s="1034"/>
      <c r="AU84" s="997">
        <f>AM84</f>
        <v>11.386041865717019</v>
      </c>
      <c r="AY84" s="1041"/>
    </row>
    <row r="85" spans="3:51" s="14" customFormat="1" ht="15">
      <c r="C85" s="14" t="s">
        <v>44</v>
      </c>
      <c r="E85" s="14">
        <v>2011</v>
      </c>
      <c r="I85" s="42" t="s">
        <v>143</v>
      </c>
      <c r="J85" s="551"/>
      <c r="K85" s="999">
        <v>1.3030888030888033</v>
      </c>
      <c r="L85" s="1039"/>
      <c r="M85" s="994">
        <v>3.645386173975755</v>
      </c>
      <c r="N85" s="997">
        <v>17.992570357932404</v>
      </c>
      <c r="O85" s="994">
        <v>14.712006499225145</v>
      </c>
      <c r="P85" s="997">
        <v>0</v>
      </c>
      <c r="Q85" s="994">
        <v>0.05903710482037961</v>
      </c>
      <c r="R85" s="997">
        <v>10.836352894840488</v>
      </c>
      <c r="S85" s="994">
        <v>0</v>
      </c>
      <c r="T85" s="997">
        <v>0</v>
      </c>
      <c r="U85" s="994">
        <v>0</v>
      </c>
      <c r="V85" s="997">
        <v>0</v>
      </c>
      <c r="W85" s="994">
        <v>0.24760647078243644</v>
      </c>
      <c r="X85" s="997">
        <v>3.657568961469019</v>
      </c>
      <c r="Y85" s="994">
        <v>3.785540879726782</v>
      </c>
      <c r="Z85" s="997">
        <v>0</v>
      </c>
      <c r="AA85" s="994">
        <v>0.08336903535078678</v>
      </c>
      <c r="AB85" s="997">
        <v>0.00806573032499516</v>
      </c>
      <c r="AC85" s="994">
        <v>3.235044548154433</v>
      </c>
      <c r="AD85" s="998">
        <v>0</v>
      </c>
      <c r="AE85" s="994">
        <v>0</v>
      </c>
      <c r="AF85" s="997">
        <v>35.192656925543474</v>
      </c>
      <c r="AG85" s="994">
        <v>0.056487462239359486</v>
      </c>
      <c r="AH85" s="997">
        <v>0</v>
      </c>
      <c r="AI85" s="994">
        <v>21.286837759928357</v>
      </c>
      <c r="AJ85" s="997">
        <v>0</v>
      </c>
      <c r="AK85" s="994">
        <v>0</v>
      </c>
      <c r="AL85" s="997">
        <v>2.1636067859632817</v>
      </c>
      <c r="AM85" s="994">
        <v>0.0760010423000087</v>
      </c>
      <c r="AN85" s="995"/>
      <c r="AO85" s="50">
        <v>5.846824877627052</v>
      </c>
      <c r="AP85" s="22">
        <v>6.889492442187795</v>
      </c>
      <c r="AQ85" s="551"/>
      <c r="AR85" s="551"/>
      <c r="AS85" s="22">
        <f>K85</f>
        <v>1.3030888030888033</v>
      </c>
      <c r="AT85" s="1034"/>
      <c r="AU85" s="997">
        <f>AM85</f>
        <v>0.0760010423000087</v>
      </c>
      <c r="AY85" s="1041"/>
    </row>
    <row r="86" spans="1:51" s="14" customFormat="1" ht="15">
      <c r="A86" s="6"/>
      <c r="B86" s="6"/>
      <c r="C86" s="6" t="s">
        <v>45</v>
      </c>
      <c r="D86" s="6"/>
      <c r="E86" s="6">
        <v>2011</v>
      </c>
      <c r="F86" s="6"/>
      <c r="G86" s="6"/>
      <c r="H86" s="6"/>
      <c r="I86" s="68" t="s">
        <v>144</v>
      </c>
      <c r="J86" s="554"/>
      <c r="K86" s="1023">
        <v>27.75096525096525</v>
      </c>
      <c r="L86" s="1040"/>
      <c r="M86" s="1024">
        <v>12.411140492461966</v>
      </c>
      <c r="N86" s="1025">
        <v>2.8486777700700823</v>
      </c>
      <c r="O86" s="1024">
        <v>1.6411908874309629</v>
      </c>
      <c r="P86" s="1025">
        <v>0</v>
      </c>
      <c r="Q86" s="1024">
        <v>2.7462093258946583</v>
      </c>
      <c r="R86" s="1025">
        <v>3.076604962583694</v>
      </c>
      <c r="S86" s="1024">
        <v>14.840909090909092</v>
      </c>
      <c r="T86" s="1025">
        <v>0</v>
      </c>
      <c r="U86" s="1024">
        <v>1.092208180544845</v>
      </c>
      <c r="V86" s="1025">
        <v>3.8194074389854</v>
      </c>
      <c r="W86" s="1024">
        <v>0</v>
      </c>
      <c r="X86" s="1025">
        <v>7.327282590214638</v>
      </c>
      <c r="Y86" s="1024">
        <v>6.416903262971649</v>
      </c>
      <c r="Z86" s="1025">
        <v>0</v>
      </c>
      <c r="AA86" s="1024">
        <v>5.761726665354376</v>
      </c>
      <c r="AB86" s="1025">
        <v>1.5900243047340457</v>
      </c>
      <c r="AC86" s="1024">
        <v>0</v>
      </c>
      <c r="AD86" s="1025">
        <v>6.778765981100612</v>
      </c>
      <c r="AE86" s="1024">
        <v>0</v>
      </c>
      <c r="AF86" s="1025">
        <v>4.180628689963299</v>
      </c>
      <c r="AG86" s="1024">
        <v>8.231381065823681</v>
      </c>
      <c r="AH86" s="1025">
        <v>0.9199453427180132</v>
      </c>
      <c r="AI86" s="1024">
        <v>2.0887557956209823</v>
      </c>
      <c r="AJ86" s="1025">
        <v>0</v>
      </c>
      <c r="AK86" s="1024">
        <v>0</v>
      </c>
      <c r="AL86" s="1025">
        <v>11.526841738322103</v>
      </c>
      <c r="AM86" s="1024">
        <v>5.48293233735777</v>
      </c>
      <c r="AN86" s="1026"/>
      <c r="AO86" s="70">
        <v>4.911529306360087</v>
      </c>
      <c r="AP86" s="69">
        <v>4.568563339004658</v>
      </c>
      <c r="AQ86" s="554"/>
      <c r="AR86" s="554"/>
      <c r="AS86" s="69">
        <f>K86</f>
        <v>27.75096525096525</v>
      </c>
      <c r="AT86" s="1035"/>
      <c r="AU86" s="1025">
        <f>AM86</f>
        <v>5.48293233735777</v>
      </c>
      <c r="AY86" s="1041"/>
    </row>
    <row r="87" s="14" customFormat="1" ht="6" customHeight="1">
      <c r="K87" s="15"/>
    </row>
    <row r="88" spans="1:46" s="14" customFormat="1" ht="15">
      <c r="A88" s="14" t="s">
        <v>129</v>
      </c>
      <c r="K88" s="15"/>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row>
    <row r="89" s="14" customFormat="1" ht="8.25" customHeight="1">
      <c r="K89" s="15"/>
    </row>
    <row r="90" s="14" customFormat="1" ht="75" customHeight="1">
      <c r="K90" s="15"/>
    </row>
    <row r="91" spans="11:37" s="14" customFormat="1" ht="15">
      <c r="K91" s="15"/>
      <c r="AJ91" s="24"/>
      <c r="AK91" s="24"/>
    </row>
    <row r="92" spans="11:32" s="14" customFormat="1" ht="15">
      <c r="K92" s="15"/>
      <c r="AF92" s="205"/>
    </row>
    <row r="93" ht="15">
      <c r="M93" s="17"/>
    </row>
  </sheetData>
  <sheetProtection/>
  <mergeCells count="11">
    <mergeCell ref="G61:G65"/>
    <mergeCell ref="G26:G27"/>
    <mergeCell ref="AY51:AY58"/>
    <mergeCell ref="AY22:AY27"/>
    <mergeCell ref="AY33:AY35"/>
    <mergeCell ref="AY29:AY31"/>
    <mergeCell ref="AY37:AY38"/>
    <mergeCell ref="AY40:AY42"/>
    <mergeCell ref="AY44:AY46"/>
    <mergeCell ref="AY83:AY86"/>
    <mergeCell ref="AS3:AU3"/>
  </mergeCells>
  <printOptions/>
  <pageMargins left="0.5511811023622047" right="0.35433070866141736" top="0.8267716535433072" bottom="0.2362204724409449" header="0.5118110236220472" footer="0.5118110236220472"/>
  <pageSetup fitToHeight="4" fitToWidth="2" horizontalDpi="600" verticalDpi="600" orientation="landscape" pageOrder="overThenDown" paperSize="9" scale="58" r:id="rId1"/>
  <rowBreaks count="1" manualBreakCount="1">
    <brk id="58" max="48" man="1"/>
  </rowBreaks>
  <colBreaks count="1" manualBreakCount="1">
    <brk id="29" max="84" man="1"/>
  </colBreaks>
</worksheet>
</file>

<file path=xl/worksheets/sheet10.xml><?xml version="1.0" encoding="utf-8"?>
<worksheet xmlns="http://schemas.openxmlformats.org/spreadsheetml/2006/main" xmlns:r="http://schemas.openxmlformats.org/officeDocument/2006/relationships">
  <sheetPr>
    <tabColor rgb="FFFFFF00"/>
  </sheetPr>
  <dimension ref="B1:G50"/>
  <sheetViews>
    <sheetView zoomScalePageLayoutView="0" workbookViewId="0" topLeftCell="A13">
      <selection activeCell="E36" sqref="E10:E36"/>
    </sheetView>
  </sheetViews>
  <sheetFormatPr defaultColWidth="9.140625" defaultRowHeight="12.75"/>
  <sheetData>
    <row r="1" spans="2:7" ht="15.75">
      <c r="B1" s="217"/>
      <c r="C1" s="100"/>
      <c r="D1" s="100"/>
      <c r="E1" s="100"/>
      <c r="G1" s="218" t="s">
        <v>145</v>
      </c>
    </row>
    <row r="2" spans="2:7" ht="15" customHeight="1">
      <c r="B2" s="1089" t="s">
        <v>192</v>
      </c>
      <c r="C2" s="1089"/>
      <c r="D2" s="1089"/>
      <c r="E2" s="1089"/>
      <c r="F2" s="1089"/>
      <c r="G2" s="1089"/>
    </row>
    <row r="3" spans="2:7" ht="19.5" customHeight="1">
      <c r="B3" s="1089"/>
      <c r="C3" s="1089"/>
      <c r="D3" s="1089"/>
      <c r="E3" s="1089"/>
      <c r="F3" s="1089"/>
      <c r="G3" s="1089"/>
    </row>
    <row r="4" spans="2:7" ht="12.75">
      <c r="B4" s="1090">
        <v>2011</v>
      </c>
      <c r="C4" s="1090"/>
      <c r="D4" s="1090"/>
      <c r="E4" s="1090"/>
      <c r="F4" s="1090"/>
      <c r="G4" s="1090"/>
    </row>
    <row r="5" spans="2:6" ht="15" customHeight="1">
      <c r="B5" s="1091" t="s">
        <v>193</v>
      </c>
      <c r="C5" s="1091"/>
      <c r="D5" s="1091"/>
      <c r="E5" s="1091"/>
      <c r="F5" s="1091"/>
    </row>
    <row r="6" spans="2:7" ht="28.5" customHeight="1">
      <c r="B6" s="35"/>
      <c r="C6" s="220" t="s">
        <v>194</v>
      </c>
      <c r="D6" s="221" t="s">
        <v>195</v>
      </c>
      <c r="E6" s="221" t="s">
        <v>22</v>
      </c>
      <c r="F6" s="222" t="s">
        <v>196</v>
      </c>
      <c r="G6" s="223"/>
    </row>
    <row r="7" spans="2:7" ht="12.75">
      <c r="B7" s="148" t="s">
        <v>161</v>
      </c>
      <c r="C7" s="224">
        <v>82.65095747503668</v>
      </c>
      <c r="D7" s="225">
        <v>8.77887311311656</v>
      </c>
      <c r="E7" s="226">
        <v>6.97842320454993</v>
      </c>
      <c r="F7" s="225">
        <v>1.5917462072968243</v>
      </c>
      <c r="G7" s="148" t="s">
        <v>161</v>
      </c>
    </row>
    <row r="8" spans="2:7" ht="12.75">
      <c r="B8" s="154" t="s">
        <v>162</v>
      </c>
      <c r="C8" s="227">
        <v>83.00608580144676</v>
      </c>
      <c r="D8" s="228">
        <v>8.374825178733392</v>
      </c>
      <c r="E8" s="229">
        <v>7.244715196702442</v>
      </c>
      <c r="F8" s="228">
        <v>1.3743738231174025</v>
      </c>
      <c r="G8" s="154" t="s">
        <v>162</v>
      </c>
    </row>
    <row r="9" spans="2:7" ht="12.75">
      <c r="B9" s="156" t="s">
        <v>163</v>
      </c>
      <c r="C9" s="230">
        <v>80.50229022200507</v>
      </c>
      <c r="D9" s="231">
        <v>11.223523400634555</v>
      </c>
      <c r="E9" s="232">
        <v>5.367251014861098</v>
      </c>
      <c r="F9" s="231">
        <v>2.9069353624992775</v>
      </c>
      <c r="G9" s="156" t="s">
        <v>163</v>
      </c>
    </row>
    <row r="10" spans="2:7" ht="12.75">
      <c r="B10" s="110" t="s">
        <v>61</v>
      </c>
      <c r="C10" s="233">
        <v>78.9202898397476</v>
      </c>
      <c r="D10" s="233">
        <v>13.104920853984222</v>
      </c>
      <c r="E10" s="233">
        <v>7.192193427403224</v>
      </c>
      <c r="F10" s="233">
        <v>0.7825958788649615</v>
      </c>
      <c r="G10" s="110" t="s">
        <v>61</v>
      </c>
    </row>
    <row r="11" spans="2:7" ht="12.75">
      <c r="B11" s="154" t="s">
        <v>102</v>
      </c>
      <c r="C11" s="234">
        <v>77.71581438328255</v>
      </c>
      <c r="D11" s="235">
        <v>17.53082961924597</v>
      </c>
      <c r="E11" s="235">
        <v>3.3435170757724495</v>
      </c>
      <c r="F11" s="235">
        <v>1.4098389216990213</v>
      </c>
      <c r="G11" s="154" t="s">
        <v>102</v>
      </c>
    </row>
    <row r="12" spans="2:7" ht="9.75" customHeight="1">
      <c r="B12" s="107" t="s">
        <v>62</v>
      </c>
      <c r="C12" s="236">
        <v>67.68782363337571</v>
      </c>
      <c r="D12" s="236">
        <v>16.364350459417278</v>
      </c>
      <c r="E12" s="236">
        <v>6.939319711016714</v>
      </c>
      <c r="F12" s="236">
        <v>9.0085061961903</v>
      </c>
      <c r="G12" s="107" t="s">
        <v>62</v>
      </c>
    </row>
    <row r="13" spans="2:7" ht="12.75">
      <c r="B13" s="154" t="s">
        <v>14</v>
      </c>
      <c r="C13" s="237">
        <v>79.29819787131107</v>
      </c>
      <c r="D13" s="235">
        <v>10.286647314949201</v>
      </c>
      <c r="E13" s="235">
        <v>9.99485970004838</v>
      </c>
      <c r="F13" s="235">
        <v>0.4202951136913401</v>
      </c>
      <c r="G13" s="154" t="s">
        <v>14</v>
      </c>
    </row>
    <row r="14" spans="2:7" ht="12.75">
      <c r="B14" s="107" t="s">
        <v>64</v>
      </c>
      <c r="C14" s="238">
        <v>84.66997556491414</v>
      </c>
      <c r="D14" s="236">
        <v>5.757746808031445</v>
      </c>
      <c r="E14" s="236">
        <v>8.007979803595813</v>
      </c>
      <c r="F14" s="236">
        <v>1.5642978234586251</v>
      </c>
      <c r="G14" s="107" t="s">
        <v>64</v>
      </c>
    </row>
    <row r="15" spans="2:7" ht="12.75">
      <c r="B15" s="154" t="s">
        <v>65</v>
      </c>
      <c r="C15" s="234">
        <v>81.3495805326869</v>
      </c>
      <c r="D15" s="235">
        <v>16.226642762789094</v>
      </c>
      <c r="E15" s="235">
        <v>1.9042280607802657</v>
      </c>
      <c r="F15" s="234">
        <v>0.5195486437437515</v>
      </c>
      <c r="G15" s="154" t="s">
        <v>65</v>
      </c>
    </row>
    <row r="16" spans="2:7" ht="12.75">
      <c r="B16" s="107" t="s">
        <v>69</v>
      </c>
      <c r="C16" s="239">
        <v>83.95795996280174</v>
      </c>
      <c r="D16" s="233">
        <v>12.789951602603047</v>
      </c>
      <c r="E16" s="240">
        <v>2.999392373798958</v>
      </c>
      <c r="F16" s="240">
        <v>0.25269606079624923</v>
      </c>
      <c r="G16" s="107" t="s">
        <v>69</v>
      </c>
    </row>
    <row r="17" spans="2:7" ht="12.75">
      <c r="B17" s="154" t="s">
        <v>15</v>
      </c>
      <c r="C17" s="234">
        <v>80.51505940640058</v>
      </c>
      <c r="D17" s="234">
        <v>17.32914293734679</v>
      </c>
      <c r="E17" s="235">
        <v>0.7844975101972317</v>
      </c>
      <c r="F17" s="234">
        <v>1.3713001460554046</v>
      </c>
      <c r="G17" s="154" t="s">
        <v>15</v>
      </c>
    </row>
    <row r="18" spans="2:7" ht="12.75">
      <c r="B18" s="107" t="s">
        <v>67</v>
      </c>
      <c r="C18" s="240">
        <v>79.73749393651192</v>
      </c>
      <c r="D18" s="240">
        <v>13.306730376260917</v>
      </c>
      <c r="E18" s="240">
        <v>5.4416224557222135</v>
      </c>
      <c r="F18" s="233">
        <v>1.5141532315049289</v>
      </c>
      <c r="G18" s="107" t="s">
        <v>67</v>
      </c>
    </row>
    <row r="19" spans="2:7" ht="12.75">
      <c r="B19" s="154" t="s">
        <v>68</v>
      </c>
      <c r="C19" s="235">
        <v>83.97440790235068</v>
      </c>
      <c r="D19" s="235">
        <v>5.277196526220879</v>
      </c>
      <c r="E19" s="235">
        <v>9.196817450882422</v>
      </c>
      <c r="F19" s="235">
        <v>1.5515781205460273</v>
      </c>
      <c r="G19" s="154" t="s">
        <v>68</v>
      </c>
    </row>
    <row r="20" spans="2:7" ht="12.75">
      <c r="B20" s="107" t="s">
        <v>70</v>
      </c>
      <c r="C20" s="236">
        <v>81.24537073757038</v>
      </c>
      <c r="D20" s="236">
        <v>12.597450931343538</v>
      </c>
      <c r="E20" s="238">
        <v>5.2888598744379305</v>
      </c>
      <c r="F20" s="241">
        <v>0.8683184566481394</v>
      </c>
      <c r="G20" s="107" t="s">
        <v>70</v>
      </c>
    </row>
    <row r="21" spans="2:7" ht="12.75">
      <c r="B21" s="154" t="s">
        <v>72</v>
      </c>
      <c r="C21" s="234">
        <v>81.74105034211642</v>
      </c>
      <c r="D21" s="234">
        <v>18.258949657883562</v>
      </c>
      <c r="E21" s="242" t="s">
        <v>158</v>
      </c>
      <c r="F21" s="242" t="s">
        <v>158</v>
      </c>
      <c r="G21" s="154" t="s">
        <v>72</v>
      </c>
    </row>
    <row r="22" spans="2:7" ht="12.75">
      <c r="B22" s="107" t="s">
        <v>73</v>
      </c>
      <c r="C22" s="238">
        <v>79.94745257700733</v>
      </c>
      <c r="D22" s="236">
        <v>13.95394704403136</v>
      </c>
      <c r="E22" s="236">
        <v>5.219522846858777</v>
      </c>
      <c r="F22" s="243">
        <v>0.8790775321025308</v>
      </c>
      <c r="G22" s="107" t="s">
        <v>73</v>
      </c>
    </row>
    <row r="23" spans="2:7" ht="12.75">
      <c r="B23" s="154" t="s">
        <v>74</v>
      </c>
      <c r="C23" s="235">
        <v>90.50688455136935</v>
      </c>
      <c r="D23" s="235">
        <v>8.315932818883342</v>
      </c>
      <c r="E23" s="235">
        <v>1.1771826297473142</v>
      </c>
      <c r="F23" s="242" t="s">
        <v>158</v>
      </c>
      <c r="G23" s="154" t="s">
        <v>74</v>
      </c>
    </row>
    <row r="24" spans="2:7" ht="12.75">
      <c r="B24" s="107" t="s">
        <v>77</v>
      </c>
      <c r="C24" s="239">
        <v>83.14121313768155</v>
      </c>
      <c r="D24" s="243">
        <v>12.456883260692454</v>
      </c>
      <c r="E24" s="236">
        <v>4.4019036016260085</v>
      </c>
      <c r="F24" s="244" t="s">
        <v>158</v>
      </c>
      <c r="G24" s="107" t="s">
        <v>77</v>
      </c>
    </row>
    <row r="25" spans="2:7" ht="12.75">
      <c r="B25" s="154" t="s">
        <v>78</v>
      </c>
      <c r="C25" s="235">
        <v>66.1265966413627</v>
      </c>
      <c r="D25" s="235">
        <v>20.82562516571198</v>
      </c>
      <c r="E25" s="235">
        <v>9.878934630580797</v>
      </c>
      <c r="F25" s="235">
        <v>3.1688435623445366</v>
      </c>
      <c r="G25" s="154" t="s">
        <v>78</v>
      </c>
    </row>
    <row r="26" spans="2:7" ht="12.75">
      <c r="B26" s="107" t="s">
        <v>79</v>
      </c>
      <c r="C26" s="239">
        <v>82.4174317070572</v>
      </c>
      <c r="D26" s="243">
        <v>17.582568292942792</v>
      </c>
      <c r="E26" s="244" t="s">
        <v>158</v>
      </c>
      <c r="F26" s="244" t="s">
        <v>158</v>
      </c>
      <c r="G26" s="107" t="s">
        <v>79</v>
      </c>
    </row>
    <row r="27" spans="2:7" ht="12.75">
      <c r="B27" s="154" t="s">
        <v>16</v>
      </c>
      <c r="C27" s="235">
        <v>82.73002320507545</v>
      </c>
      <c r="D27" s="234">
        <v>7.047454776326748</v>
      </c>
      <c r="E27" s="235">
        <v>9.299303393529822</v>
      </c>
      <c r="F27" s="234">
        <v>0.9232186250679784</v>
      </c>
      <c r="G27" s="154" t="s">
        <v>16</v>
      </c>
    </row>
    <row r="28" spans="2:7" ht="12.75">
      <c r="B28" s="107" t="s">
        <v>82</v>
      </c>
      <c r="C28" s="236">
        <v>75.2630887273683</v>
      </c>
      <c r="D28" s="236">
        <v>9.63698304707797</v>
      </c>
      <c r="E28" s="236">
        <v>10.994632080144761</v>
      </c>
      <c r="F28" s="236">
        <v>4.105296145408963</v>
      </c>
      <c r="G28" s="107" t="s">
        <v>82</v>
      </c>
    </row>
    <row r="29" spans="2:7" ht="12.75">
      <c r="B29" s="154" t="s">
        <v>81</v>
      </c>
      <c r="C29" s="235">
        <v>87.87127529735508</v>
      </c>
      <c r="D29" s="235">
        <v>5.793670380371188</v>
      </c>
      <c r="E29" s="235">
        <v>5.0995858071767515</v>
      </c>
      <c r="F29" s="234">
        <v>1.2354685150969755</v>
      </c>
      <c r="G29" s="154" t="s">
        <v>81</v>
      </c>
    </row>
    <row r="30" spans="2:7" ht="12.75">
      <c r="B30" s="107" t="s">
        <v>93</v>
      </c>
      <c r="C30" s="239">
        <v>83.94739511397765</v>
      </c>
      <c r="D30" s="243">
        <v>10.71343892576122</v>
      </c>
      <c r="E30" s="236">
        <v>4.180715285080676</v>
      </c>
      <c r="F30" s="236">
        <v>1.1584506751804526</v>
      </c>
      <c r="G30" s="107" t="s">
        <v>93</v>
      </c>
    </row>
    <row r="31" spans="2:7" ht="12.75">
      <c r="B31" s="154" t="s">
        <v>103</v>
      </c>
      <c r="C31" s="234">
        <v>75.82282125539957</v>
      </c>
      <c r="D31" s="235">
        <v>11.905599625513801</v>
      </c>
      <c r="E31" s="235">
        <v>5.130137339695194</v>
      </c>
      <c r="F31" s="234">
        <v>7.1414417793914415</v>
      </c>
      <c r="G31" s="154" t="s">
        <v>103</v>
      </c>
    </row>
    <row r="32" spans="2:7" ht="12.75">
      <c r="B32" s="107" t="s">
        <v>84</v>
      </c>
      <c r="C32" s="239">
        <v>86.38467918408939</v>
      </c>
      <c r="D32" s="243">
        <v>10.995388531083826</v>
      </c>
      <c r="E32" s="240">
        <v>2.619932284826773</v>
      </c>
      <c r="F32" s="245" t="s">
        <v>158</v>
      </c>
      <c r="G32" s="107" t="s">
        <v>84</v>
      </c>
    </row>
    <row r="33" spans="2:7" ht="12.75">
      <c r="B33" s="154" t="s">
        <v>86</v>
      </c>
      <c r="C33" s="235">
        <v>76.59834317239579</v>
      </c>
      <c r="D33" s="234">
        <v>15.60193753177231</v>
      </c>
      <c r="E33" s="235">
        <v>6.925673085583894</v>
      </c>
      <c r="F33" s="234">
        <v>0.8740462102480133</v>
      </c>
      <c r="G33" s="154" t="s">
        <v>86</v>
      </c>
    </row>
    <row r="34" spans="2:7" ht="12.75">
      <c r="B34" s="107" t="s">
        <v>88</v>
      </c>
      <c r="C34" s="240">
        <v>84.58289743887791</v>
      </c>
      <c r="D34" s="240">
        <v>9.738205018921049</v>
      </c>
      <c r="E34" s="240">
        <v>5.013754891704444</v>
      </c>
      <c r="F34" s="246">
        <v>0.6651426504965968</v>
      </c>
      <c r="G34" s="107" t="s">
        <v>88</v>
      </c>
    </row>
    <row r="35" spans="2:7" ht="12.75">
      <c r="B35" s="154" t="s">
        <v>89</v>
      </c>
      <c r="C35" s="235">
        <v>82.9481836868324</v>
      </c>
      <c r="D35" s="235">
        <v>6.6314307026885775</v>
      </c>
      <c r="E35" s="235">
        <v>8.642888721098583</v>
      </c>
      <c r="F35" s="235">
        <v>1.7774968893804435</v>
      </c>
      <c r="G35" s="154" t="s">
        <v>89</v>
      </c>
    </row>
    <row r="36" spans="2:7" ht="12.75">
      <c r="B36" s="107" t="s">
        <v>13</v>
      </c>
      <c r="C36" s="247">
        <v>85.3542135056669</v>
      </c>
      <c r="D36" s="248">
        <v>5.850266366852279</v>
      </c>
      <c r="E36" s="247">
        <v>7.376938327217716</v>
      </c>
      <c r="F36" s="240">
        <v>1.418581800263107</v>
      </c>
      <c r="G36" s="107" t="s">
        <v>13</v>
      </c>
    </row>
    <row r="37" spans="2:7" ht="12.75">
      <c r="B37" s="148" t="s">
        <v>164</v>
      </c>
      <c r="C37" s="234">
        <v>83.05324278132352</v>
      </c>
      <c r="D37" s="249">
        <v>10.347999075562985</v>
      </c>
      <c r="E37" s="235">
        <v>4.889355786904633</v>
      </c>
      <c r="F37" s="250">
        <v>1.70940235620885</v>
      </c>
      <c r="G37" s="148" t="s">
        <v>164</v>
      </c>
    </row>
    <row r="38" spans="2:7" ht="12.75">
      <c r="B38" s="107" t="s">
        <v>165</v>
      </c>
      <c r="C38" s="243">
        <v>75.47497123254907</v>
      </c>
      <c r="D38" s="238">
        <v>22.53279953984288</v>
      </c>
      <c r="E38" s="239">
        <v>1.9922292276080598</v>
      </c>
      <c r="F38" s="239" t="s">
        <v>158</v>
      </c>
      <c r="G38" s="107" t="s">
        <v>165</v>
      </c>
    </row>
    <row r="39" spans="2:7" ht="12.75">
      <c r="B39" s="156" t="s">
        <v>166</v>
      </c>
      <c r="C39" s="251"/>
      <c r="D39" s="251"/>
      <c r="E39" s="251"/>
      <c r="F39" s="251"/>
      <c r="G39" s="156" t="s">
        <v>166</v>
      </c>
    </row>
    <row r="40" spans="2:7" ht="12.75">
      <c r="B40" s="110" t="s">
        <v>167</v>
      </c>
      <c r="C40" s="252">
        <v>88.5920979410128</v>
      </c>
      <c r="D40" s="252">
        <v>11.407902058987201</v>
      </c>
      <c r="E40" s="238" t="s">
        <v>158</v>
      </c>
      <c r="F40" s="238" t="s">
        <v>158</v>
      </c>
      <c r="G40" s="110" t="s">
        <v>167</v>
      </c>
    </row>
    <row r="41" spans="2:7" ht="12.75">
      <c r="B41" s="154" t="s">
        <v>168</v>
      </c>
      <c r="C41" s="235">
        <v>87.71341552698627</v>
      </c>
      <c r="D41" s="235">
        <v>6.952294491463378</v>
      </c>
      <c r="E41" s="235">
        <v>4.4103435148036425</v>
      </c>
      <c r="F41" s="235">
        <v>0.9239464667467125</v>
      </c>
      <c r="G41" s="154" t="s">
        <v>168</v>
      </c>
    </row>
    <row r="42" spans="2:7" ht="12.75">
      <c r="B42" s="109" t="s">
        <v>169</v>
      </c>
      <c r="C42" s="247">
        <v>76.43911452405308</v>
      </c>
      <c r="D42" s="253">
        <v>5.064004667982538</v>
      </c>
      <c r="E42" s="253">
        <v>17.532848766010172</v>
      </c>
      <c r="F42" s="253">
        <v>0.9640320419542134</v>
      </c>
      <c r="G42" s="109" t="s">
        <v>169</v>
      </c>
    </row>
    <row r="44" spans="2:7" ht="12.75">
      <c r="B44" s="254" t="s">
        <v>197</v>
      </c>
      <c r="C44" s="136"/>
      <c r="D44" s="255"/>
      <c r="E44" s="255"/>
      <c r="F44" s="255"/>
      <c r="G44" s="256"/>
    </row>
    <row r="45" spans="2:6" ht="35.25" customHeight="1">
      <c r="B45" s="1092" t="s">
        <v>198</v>
      </c>
      <c r="C45" s="1092"/>
      <c r="D45" s="1092"/>
      <c r="E45" s="1092"/>
      <c r="F45" s="1092"/>
    </row>
    <row r="46" spans="2:7" ht="12.75">
      <c r="B46" s="257" t="s">
        <v>161</v>
      </c>
      <c r="C46" s="258">
        <v>80.93782281472569</v>
      </c>
      <c r="D46" s="258">
        <v>8.596910407928364</v>
      </c>
      <c r="E46" s="258">
        <v>6.8337790403290395</v>
      </c>
      <c r="F46" s="258">
        <v>1.5587535393176013</v>
      </c>
      <c r="G46" s="257" t="s">
        <v>161</v>
      </c>
    </row>
    <row r="47" spans="2:7" ht="15" customHeight="1">
      <c r="B47" s="259" t="s">
        <v>162</v>
      </c>
      <c r="C47" s="260">
        <v>81.28418361640121</v>
      </c>
      <c r="D47" s="260">
        <v>8.201095389701656</v>
      </c>
      <c r="E47" s="260">
        <v>7.09442873509197</v>
      </c>
      <c r="F47" s="260">
        <v>1.3458634161244007</v>
      </c>
      <c r="G47" s="259" t="s">
        <v>162</v>
      </c>
    </row>
    <row r="48" spans="2:7" ht="12.75">
      <c r="B48" s="259" t="s">
        <v>163</v>
      </c>
      <c r="C48" s="260">
        <v>78.84194685054806</v>
      </c>
      <c r="D48" s="260">
        <v>10.992040511995661</v>
      </c>
      <c r="E48" s="260">
        <v>5.2565525537254585</v>
      </c>
      <c r="F48" s="260">
        <v>2.8469804115647217</v>
      </c>
      <c r="G48" s="259" t="s">
        <v>163</v>
      </c>
    </row>
    <row r="49" spans="3:5" ht="12.75">
      <c r="C49" s="261"/>
      <c r="D49" s="261"/>
      <c r="E49" s="261"/>
    </row>
    <row r="50" ht="12.75">
      <c r="B50" s="254" t="s">
        <v>199</v>
      </c>
    </row>
  </sheetData>
  <sheetProtection/>
  <mergeCells count="4">
    <mergeCell ref="B2:G3"/>
    <mergeCell ref="B4:G4"/>
    <mergeCell ref="B5:F5"/>
    <mergeCell ref="B45:F4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AH49"/>
  <sheetViews>
    <sheetView zoomScalePageLayoutView="0" workbookViewId="0" topLeftCell="A4">
      <selection activeCell="K35" sqref="K9:K35"/>
    </sheetView>
  </sheetViews>
  <sheetFormatPr defaultColWidth="9.140625" defaultRowHeight="12.75"/>
  <cols>
    <col min="1" max="1" width="2.7109375" style="262" customWidth="1"/>
    <col min="2" max="2" width="4.00390625" style="101" customWidth="1"/>
    <col min="3" max="4" width="7.7109375" style="101" hidden="1" customWidth="1"/>
    <col min="5" max="5" width="6.7109375" style="101" customWidth="1"/>
    <col min="6" max="9" width="7.7109375" style="101" customWidth="1"/>
    <col min="10" max="10" width="6.7109375" style="101" customWidth="1"/>
    <col min="11" max="14" width="7.7109375" style="101" customWidth="1"/>
    <col min="15" max="15" width="6.7109375" style="101" customWidth="1"/>
    <col min="16" max="26" width="7.7109375" style="101" customWidth="1"/>
    <col min="27" max="27" width="7.28125" style="101" customWidth="1"/>
    <col min="28" max="28" width="4.00390625" style="101" customWidth="1"/>
    <col min="29" max="29" width="4.7109375" style="101" customWidth="1"/>
    <col min="30" max="30" width="18.421875" style="101" bestFit="1" customWidth="1"/>
    <col min="31" max="31" width="9.140625" style="101" customWidth="1"/>
    <col min="32" max="32" width="9.57421875" style="101" bestFit="1" customWidth="1"/>
    <col min="33" max="16384" width="9.140625" style="101" customWidth="1"/>
  </cols>
  <sheetData>
    <row r="1" spans="2:28" ht="14.25" customHeight="1">
      <c r="B1" s="263"/>
      <c r="C1" s="264"/>
      <c r="D1" s="264"/>
      <c r="E1" s="264"/>
      <c r="F1" s="264"/>
      <c r="G1" s="264"/>
      <c r="H1" s="264"/>
      <c r="I1" s="264"/>
      <c r="J1" s="264"/>
      <c r="K1" s="264"/>
      <c r="L1" s="264"/>
      <c r="M1" s="264"/>
      <c r="N1" s="264"/>
      <c r="O1" s="264"/>
      <c r="P1" s="264"/>
      <c r="Q1" s="265"/>
      <c r="T1" s="102"/>
      <c r="U1" s="102"/>
      <c r="V1" s="102"/>
      <c r="W1" s="102"/>
      <c r="X1" s="102"/>
      <c r="Y1" s="102"/>
      <c r="Z1" s="102"/>
      <c r="AB1" s="102" t="s">
        <v>200</v>
      </c>
    </row>
    <row r="2" spans="1:28" s="268" customFormat="1" ht="30" customHeight="1">
      <c r="A2" s="266"/>
      <c r="B2" s="1083" t="s">
        <v>194</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row>
    <row r="3" spans="3:27" ht="12" customHeight="1">
      <c r="C3" s="269"/>
      <c r="D3" s="269"/>
      <c r="E3" s="269"/>
      <c r="F3" s="269"/>
      <c r="G3" s="269"/>
      <c r="H3" s="269"/>
      <c r="I3" s="269"/>
      <c r="J3" s="269"/>
      <c r="K3" s="269"/>
      <c r="L3" s="269"/>
      <c r="M3" s="269"/>
      <c r="N3" s="269"/>
      <c r="O3" s="269"/>
      <c r="P3" s="269"/>
      <c r="Q3" s="269"/>
      <c r="R3" s="269"/>
      <c r="X3" s="269" t="s">
        <v>201</v>
      </c>
      <c r="Y3" s="269"/>
      <c r="Z3" s="269"/>
      <c r="AA3" s="270"/>
    </row>
    <row r="4" spans="2:28"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41" t="s">
        <v>159</v>
      </c>
      <c r="AB4" s="142"/>
    </row>
    <row r="5" spans="2:28" ht="9.75" customHeight="1">
      <c r="B5" s="143"/>
      <c r="C5" s="145"/>
      <c r="D5" s="145"/>
      <c r="E5" s="146"/>
      <c r="F5" s="146"/>
      <c r="G5" s="146"/>
      <c r="H5" s="146"/>
      <c r="I5" s="146"/>
      <c r="J5" s="146"/>
      <c r="K5" s="146"/>
      <c r="L5" s="146"/>
      <c r="M5" s="146"/>
      <c r="N5" s="146"/>
      <c r="O5" s="146"/>
      <c r="P5" s="146"/>
      <c r="Q5" s="146"/>
      <c r="R5" s="146"/>
      <c r="S5" s="146"/>
      <c r="T5" s="146"/>
      <c r="U5" s="146"/>
      <c r="V5" s="146"/>
      <c r="W5" s="271"/>
      <c r="X5" s="271"/>
      <c r="Y5" s="271"/>
      <c r="Z5" s="271"/>
      <c r="AA5" s="272" t="s">
        <v>160</v>
      </c>
      <c r="AB5" s="142"/>
    </row>
    <row r="6" spans="2:30" ht="12.75" customHeight="1">
      <c r="B6" s="148" t="s">
        <v>161</v>
      </c>
      <c r="C6" s="273" t="s">
        <v>100</v>
      </c>
      <c r="D6" s="273" t="s">
        <v>100</v>
      </c>
      <c r="E6" s="274" t="s">
        <v>100</v>
      </c>
      <c r="F6" s="275" t="s">
        <v>100</v>
      </c>
      <c r="G6" s="275" t="s">
        <v>100</v>
      </c>
      <c r="H6" s="275" t="s">
        <v>100</v>
      </c>
      <c r="I6" s="275" t="s">
        <v>100</v>
      </c>
      <c r="J6" s="275">
        <f aca="true" t="shared" si="0" ref="J6:T6">SUM(J9:J35)</f>
        <v>3929.80134797504</v>
      </c>
      <c r="K6" s="275">
        <f t="shared" si="0"/>
        <v>3995.985495558787</v>
      </c>
      <c r="L6" s="275">
        <f t="shared" si="0"/>
        <v>4079.978695642577</v>
      </c>
      <c r="M6" s="275">
        <f t="shared" si="0"/>
        <v>4184.841139690146</v>
      </c>
      <c r="N6" s="275">
        <f t="shared" si="0"/>
        <v>4300.010616089595</v>
      </c>
      <c r="O6" s="275">
        <f t="shared" si="0"/>
        <v>4371.589453016369</v>
      </c>
      <c r="P6" s="275">
        <f t="shared" si="0"/>
        <v>4476.644044149556</v>
      </c>
      <c r="Q6" s="275">
        <f t="shared" si="0"/>
        <v>4570.655863418063</v>
      </c>
      <c r="R6" s="275">
        <f t="shared" si="0"/>
        <v>4613.481085440833</v>
      </c>
      <c r="S6" s="275">
        <f t="shared" si="0"/>
        <v>4682.801609016244</v>
      </c>
      <c r="T6" s="275">
        <f t="shared" si="0"/>
        <v>4630.385023638856</v>
      </c>
      <c r="U6" s="275">
        <f aca="true" t="shared" si="1" ref="U6:Z6">SUM(U9:U35)</f>
        <v>4693.483392476262</v>
      </c>
      <c r="V6" s="275">
        <f t="shared" si="1"/>
        <v>4762.221595375107</v>
      </c>
      <c r="W6" s="275">
        <f t="shared" si="1"/>
        <v>4789.412649579216</v>
      </c>
      <c r="X6" s="224">
        <f t="shared" si="1"/>
        <v>4866.439799380715</v>
      </c>
      <c r="Y6" s="224">
        <f t="shared" si="1"/>
        <v>4832.427481005628</v>
      </c>
      <c r="Z6" s="224">
        <f t="shared" si="1"/>
        <v>4822.133197566818</v>
      </c>
      <c r="AA6" s="276">
        <f>Z6/Y6*100-100</f>
        <v>-0.21302509927510016</v>
      </c>
      <c r="AB6" s="148" t="s">
        <v>161</v>
      </c>
      <c r="AD6" s="277"/>
    </row>
    <row r="7" spans="1:28" ht="12.75" customHeight="1">
      <c r="A7" s="120"/>
      <c r="B7" s="154" t="s">
        <v>162</v>
      </c>
      <c r="C7" s="278">
        <f aca="true" t="shared" si="2" ref="C7:Z7">SUM(C9,C12:C13,C15,C16:C19,C23,C26:C27,C29,C33:C35)</f>
        <v>1557.1409999999998</v>
      </c>
      <c r="D7" s="278">
        <f t="shared" si="2"/>
        <v>2229.8367150000004</v>
      </c>
      <c r="E7" s="279">
        <f t="shared" si="2"/>
        <v>3160.4218310959013</v>
      </c>
      <c r="F7" s="280">
        <f t="shared" si="2"/>
        <v>3223.700342984446</v>
      </c>
      <c r="G7" s="280">
        <f t="shared" si="2"/>
        <v>3349.033196654118</v>
      </c>
      <c r="H7" s="280">
        <f t="shared" si="2"/>
        <v>3379.834966169368</v>
      </c>
      <c r="I7" s="280">
        <f t="shared" si="2"/>
        <v>3521.0877782629154</v>
      </c>
      <c r="J7" s="280">
        <f t="shared" si="2"/>
        <v>3586.1428524750404</v>
      </c>
      <c r="K7" s="280">
        <f t="shared" si="2"/>
        <v>3631.378495558788</v>
      </c>
      <c r="L7" s="280">
        <f t="shared" si="2"/>
        <v>3696.259695642577</v>
      </c>
      <c r="M7" s="280">
        <f t="shared" si="2"/>
        <v>3784.330684590145</v>
      </c>
      <c r="N7" s="280">
        <f t="shared" si="2"/>
        <v>3884.4656160895943</v>
      </c>
      <c r="O7" s="280">
        <f t="shared" si="2"/>
        <v>3939.733337316369</v>
      </c>
      <c r="P7" s="280">
        <f t="shared" si="2"/>
        <v>4033.4278911495558</v>
      </c>
      <c r="Q7" s="280">
        <f t="shared" si="2"/>
        <v>4110.591223818063</v>
      </c>
      <c r="R7" s="280">
        <f t="shared" si="2"/>
        <v>4137.235773940833</v>
      </c>
      <c r="S7" s="280">
        <f t="shared" si="2"/>
        <v>4189.567209016244</v>
      </c>
      <c r="T7" s="280">
        <f t="shared" si="2"/>
        <v>4106.9755236388555</v>
      </c>
      <c r="U7" s="280">
        <f t="shared" si="2"/>
        <v>4130.762792476262</v>
      </c>
      <c r="V7" s="280">
        <f t="shared" si="2"/>
        <v>4166.7503953751075</v>
      </c>
      <c r="W7" s="280">
        <f t="shared" si="2"/>
        <v>4153.911149579216</v>
      </c>
      <c r="X7" s="227">
        <f t="shared" si="2"/>
        <v>4213.272109380716</v>
      </c>
      <c r="Y7" s="227">
        <f t="shared" si="2"/>
        <v>4180.3621410056285</v>
      </c>
      <c r="Z7" s="227">
        <f t="shared" si="2"/>
        <v>4155.961779403159</v>
      </c>
      <c r="AA7" s="281">
        <f aca="true" t="shared" si="3" ref="AA7:AA41">Z7/Y7*100-100</f>
        <v>-0.5836901392614635</v>
      </c>
      <c r="AB7" s="154" t="s">
        <v>162</v>
      </c>
    </row>
    <row r="8" spans="1:28" ht="12.75" customHeight="1">
      <c r="A8" s="120"/>
      <c r="B8" s="156" t="s">
        <v>163</v>
      </c>
      <c r="C8" s="282"/>
      <c r="D8" s="282"/>
      <c r="E8" s="283"/>
      <c r="F8" s="284"/>
      <c r="G8" s="284"/>
      <c r="H8" s="284"/>
      <c r="I8" s="284"/>
      <c r="J8" s="284">
        <f>J6-J7</f>
        <v>343.6584954999994</v>
      </c>
      <c r="K8" s="284">
        <f aca="true" t="shared" si="4" ref="K8:Z8">K6-K7</f>
        <v>364.60699999999906</v>
      </c>
      <c r="L8" s="284">
        <f t="shared" si="4"/>
        <v>383.71900000000005</v>
      </c>
      <c r="M8" s="284">
        <f t="shared" si="4"/>
        <v>400.5104551000004</v>
      </c>
      <c r="N8" s="284">
        <f t="shared" si="4"/>
        <v>415.5450000000005</v>
      </c>
      <c r="O8" s="284">
        <f t="shared" si="4"/>
        <v>431.85611569999946</v>
      </c>
      <c r="P8" s="284">
        <f t="shared" si="4"/>
        <v>443.2161530000003</v>
      </c>
      <c r="Q8" s="284">
        <f t="shared" si="4"/>
        <v>460.0646396000002</v>
      </c>
      <c r="R8" s="284">
        <f t="shared" si="4"/>
        <v>476.24531150000075</v>
      </c>
      <c r="S8" s="284">
        <f t="shared" si="4"/>
        <v>493.23439999999937</v>
      </c>
      <c r="T8" s="284">
        <f t="shared" si="4"/>
        <v>523.4095000000007</v>
      </c>
      <c r="U8" s="284">
        <f t="shared" si="4"/>
        <v>562.7206000000006</v>
      </c>
      <c r="V8" s="284">
        <f t="shared" si="4"/>
        <v>595.4712</v>
      </c>
      <c r="W8" s="284">
        <f t="shared" si="4"/>
        <v>635.5015000000003</v>
      </c>
      <c r="X8" s="230">
        <f t="shared" si="4"/>
        <v>653.1676899999993</v>
      </c>
      <c r="Y8" s="230">
        <f t="shared" si="4"/>
        <v>652.0653399999992</v>
      </c>
      <c r="Z8" s="230">
        <f t="shared" si="4"/>
        <v>666.1714181636589</v>
      </c>
      <c r="AA8" s="285">
        <f t="shared" si="3"/>
        <v>2.163292127083423</v>
      </c>
      <c r="AB8" s="156" t="s">
        <v>163</v>
      </c>
    </row>
    <row r="9" spans="1:30" ht="12.75" customHeight="1">
      <c r="A9" s="120"/>
      <c r="B9" s="107" t="s">
        <v>61</v>
      </c>
      <c r="C9" s="286">
        <v>41.107</v>
      </c>
      <c r="D9" s="286">
        <v>64.577</v>
      </c>
      <c r="E9" s="240">
        <v>90.18263176795936</v>
      </c>
      <c r="F9" s="240">
        <v>94.00793986193496</v>
      </c>
      <c r="G9" s="240">
        <v>95.70025664420331</v>
      </c>
      <c r="H9" s="240">
        <v>96.4181066409498</v>
      </c>
      <c r="I9" s="240">
        <v>99.12303147084089</v>
      </c>
      <c r="J9" s="240">
        <v>98.19528144003041</v>
      </c>
      <c r="K9" s="240">
        <v>98.19093290931077</v>
      </c>
      <c r="L9" s="240">
        <v>100.37196033105715</v>
      </c>
      <c r="M9" s="240">
        <v>102.95319955582954</v>
      </c>
      <c r="N9" s="240">
        <v>105.27636835766117</v>
      </c>
      <c r="O9" s="240">
        <v>105.52737419566617</v>
      </c>
      <c r="P9" s="240">
        <v>106.88974468298134</v>
      </c>
      <c r="Q9" s="240">
        <v>108.0700808477054</v>
      </c>
      <c r="R9" s="240">
        <v>106.96765538073197</v>
      </c>
      <c r="S9" s="240">
        <v>108.63499383734003</v>
      </c>
      <c r="T9" s="240">
        <v>108.87610759814541</v>
      </c>
      <c r="U9" s="240">
        <v>109.79844495665847</v>
      </c>
      <c r="V9" s="240">
        <v>112.07827363192347</v>
      </c>
      <c r="W9" s="240">
        <v>110.39313129523909</v>
      </c>
      <c r="X9" s="240">
        <v>111.46972781987417</v>
      </c>
      <c r="Y9" s="240">
        <v>112.64</v>
      </c>
      <c r="Z9" s="233">
        <v>114.24041160948988</v>
      </c>
      <c r="AA9" s="287">
        <f t="shared" si="3"/>
        <v>1.420819965811333</v>
      </c>
      <c r="AB9" s="107" t="s">
        <v>61</v>
      </c>
      <c r="AC9"/>
      <c r="AD9" s="135"/>
    </row>
    <row r="10" spans="1:29" ht="12.75" customHeight="1">
      <c r="A10" s="120"/>
      <c r="B10" s="154" t="s">
        <v>102</v>
      </c>
      <c r="C10" s="288" t="s">
        <v>100</v>
      </c>
      <c r="D10" s="288" t="s">
        <v>100</v>
      </c>
      <c r="E10" s="235"/>
      <c r="F10" s="235"/>
      <c r="G10" s="235"/>
      <c r="H10" s="235"/>
      <c r="I10" s="235"/>
      <c r="J10" s="234">
        <v>25</v>
      </c>
      <c r="K10" s="234">
        <v>24.5</v>
      </c>
      <c r="L10" s="234">
        <v>23.9</v>
      </c>
      <c r="M10" s="234">
        <v>24.6</v>
      </c>
      <c r="N10" s="234">
        <v>25.4</v>
      </c>
      <c r="O10" s="234">
        <v>26.9</v>
      </c>
      <c r="P10" s="234">
        <v>27.9</v>
      </c>
      <c r="Q10" s="234">
        <v>29.3</v>
      </c>
      <c r="R10" s="234">
        <v>30.7</v>
      </c>
      <c r="S10" s="234">
        <v>32.8</v>
      </c>
      <c r="T10" s="234">
        <v>35.1</v>
      </c>
      <c r="U10" s="234">
        <v>37.6</v>
      </c>
      <c r="V10" s="234">
        <v>40.4</v>
      </c>
      <c r="W10" s="234">
        <v>43.2</v>
      </c>
      <c r="X10" s="234">
        <v>46.3</v>
      </c>
      <c r="Y10" s="234">
        <v>46.9</v>
      </c>
      <c r="Z10" s="234">
        <v>48.06803748938479</v>
      </c>
      <c r="AA10" s="289">
        <f t="shared" si="3"/>
        <v>2.4904850519931614</v>
      </c>
      <c r="AB10" s="154" t="s">
        <v>102</v>
      </c>
      <c r="AC10"/>
    </row>
    <row r="11" spans="1:29" s="214" customFormat="1" ht="12.75" customHeight="1">
      <c r="A11" s="290"/>
      <c r="B11" s="107" t="s">
        <v>62</v>
      </c>
      <c r="C11" s="291"/>
      <c r="D11" s="291"/>
      <c r="E11" s="292"/>
      <c r="F11" s="238"/>
      <c r="G11" s="238"/>
      <c r="H11" s="238">
        <v>49</v>
      </c>
      <c r="I11" s="238">
        <v>51.7</v>
      </c>
      <c r="J11" s="238">
        <v>54.5</v>
      </c>
      <c r="K11" s="238">
        <v>57.9</v>
      </c>
      <c r="L11" s="238">
        <v>59</v>
      </c>
      <c r="M11" s="239">
        <v>59.726</v>
      </c>
      <c r="N11" s="238">
        <v>62.38</v>
      </c>
      <c r="O11" s="238">
        <v>63.94</v>
      </c>
      <c r="P11" s="238">
        <v>63.47</v>
      </c>
      <c r="Q11" s="238">
        <v>65.29</v>
      </c>
      <c r="R11" s="238">
        <v>67.36</v>
      </c>
      <c r="S11" s="238">
        <v>67.57</v>
      </c>
      <c r="T11" s="238">
        <v>68.64</v>
      </c>
      <c r="U11" s="238">
        <v>69.63</v>
      </c>
      <c r="V11" s="238">
        <v>71.54</v>
      </c>
      <c r="W11" s="238">
        <v>72.38</v>
      </c>
      <c r="X11" s="236">
        <v>72.29</v>
      </c>
      <c r="Y11" s="293">
        <v>63.57</v>
      </c>
      <c r="Z11" s="236">
        <v>65.49</v>
      </c>
      <c r="AA11" s="294">
        <f t="shared" si="3"/>
        <v>3.0202925908447327</v>
      </c>
      <c r="AB11" s="107" t="s">
        <v>62</v>
      </c>
      <c r="AC11"/>
    </row>
    <row r="12" spans="1:29" ht="12.75" customHeight="1">
      <c r="A12" s="120"/>
      <c r="B12" s="154" t="s">
        <v>14</v>
      </c>
      <c r="C12" s="288">
        <v>33.3</v>
      </c>
      <c r="D12" s="288">
        <f>38.027+0.458</f>
        <v>38.485</v>
      </c>
      <c r="E12" s="237">
        <v>47.191</v>
      </c>
      <c r="F12" s="237">
        <v>47.865</v>
      </c>
      <c r="G12" s="237">
        <v>48.126</v>
      </c>
      <c r="H12" s="237">
        <v>47.621</v>
      </c>
      <c r="I12" s="237">
        <v>47.77</v>
      </c>
      <c r="J12" s="237">
        <v>48.389</v>
      </c>
      <c r="K12" s="237">
        <v>49.042</v>
      </c>
      <c r="L12" s="237">
        <v>49.91</v>
      </c>
      <c r="M12" s="237">
        <v>50.328</v>
      </c>
      <c r="N12" s="237">
        <v>51.307</v>
      </c>
      <c r="O12" s="237">
        <f>50.187+0.429</f>
        <v>50.616</v>
      </c>
      <c r="P12" s="237">
        <f>49.183+0.438</f>
        <v>49.621</v>
      </c>
      <c r="Q12" s="237">
        <f>49.03+0.424</f>
        <v>49.454</v>
      </c>
      <c r="R12" s="237">
        <f>49.28+0.414</f>
        <v>49.694</v>
      </c>
      <c r="S12" s="237">
        <f>50.149+0.408</f>
        <v>50.557</v>
      </c>
      <c r="T12" s="237">
        <f>49.645+0.4</f>
        <v>50.045</v>
      </c>
      <c r="U12" s="237">
        <f>49.665+0.401</f>
        <v>50.066</v>
      </c>
      <c r="V12" s="237">
        <f>51.112+0.404</f>
        <v>51.516000000000005</v>
      </c>
      <c r="W12" s="237">
        <f>51.315+0.406</f>
        <v>51.721</v>
      </c>
      <c r="X12" s="237">
        <f>51.038+0.404</f>
        <v>51.442</v>
      </c>
      <c r="Y12" s="237">
        <f>50.622+0.392</f>
        <v>51.014</v>
      </c>
      <c r="Z12" s="237">
        <v>52.451</v>
      </c>
      <c r="AA12" s="295">
        <f t="shared" si="3"/>
        <v>2.8168737993491817</v>
      </c>
      <c r="AB12" s="154" t="s">
        <v>14</v>
      </c>
      <c r="AC12"/>
    </row>
    <row r="13" spans="1:29" s="214" customFormat="1" ht="12.75" customHeight="1">
      <c r="A13" s="290"/>
      <c r="B13" s="107" t="s">
        <v>64</v>
      </c>
      <c r="C13" s="304">
        <v>394.6</v>
      </c>
      <c r="D13" s="304">
        <v>513.7</v>
      </c>
      <c r="E13" s="238">
        <v>683.1</v>
      </c>
      <c r="F13" s="238">
        <v>700</v>
      </c>
      <c r="G13" s="238">
        <v>719.5</v>
      </c>
      <c r="H13" s="306">
        <v>729.8</v>
      </c>
      <c r="I13" s="238">
        <v>807.0219025046072</v>
      </c>
      <c r="J13" s="238">
        <v>815.2976294348988</v>
      </c>
      <c r="K13" s="238">
        <v>816.0723829598729</v>
      </c>
      <c r="L13" s="238">
        <v>817.0706670210186</v>
      </c>
      <c r="M13" s="238">
        <v>828.068802348269</v>
      </c>
      <c r="N13" s="238">
        <v>848.4200042686394</v>
      </c>
      <c r="O13" s="238">
        <v>831.2665448417845</v>
      </c>
      <c r="P13" s="238">
        <v>852.6294387699498</v>
      </c>
      <c r="Q13" s="238">
        <v>862.987</v>
      </c>
      <c r="R13" s="238">
        <v>857.736</v>
      </c>
      <c r="S13" s="238">
        <v>868.65</v>
      </c>
      <c r="T13" s="238">
        <v>856.875</v>
      </c>
      <c r="U13" s="238">
        <v>863.328</v>
      </c>
      <c r="V13" s="238">
        <v>866.5310000000001</v>
      </c>
      <c r="W13" s="238">
        <v>871.328</v>
      </c>
      <c r="X13" s="238">
        <v>881.1</v>
      </c>
      <c r="Y13" s="238">
        <v>887</v>
      </c>
      <c r="Z13" s="238">
        <v>898.5</v>
      </c>
      <c r="AA13" s="316">
        <f t="shared" si="3"/>
        <v>1.2965050732807128</v>
      </c>
      <c r="AB13" s="107" t="s">
        <v>64</v>
      </c>
      <c r="AC13" s="35"/>
    </row>
    <row r="14" spans="1:30" ht="13.5" customHeight="1">
      <c r="A14" s="120"/>
      <c r="B14" s="154" t="s">
        <v>65</v>
      </c>
      <c r="C14" s="288" t="s">
        <v>100</v>
      </c>
      <c r="D14" s="288" t="s">
        <v>100</v>
      </c>
      <c r="E14" s="235" t="s">
        <v>100</v>
      </c>
      <c r="F14" s="235" t="s">
        <v>100</v>
      </c>
      <c r="G14" s="235" t="s">
        <v>100</v>
      </c>
      <c r="H14" s="235" t="s">
        <v>100</v>
      </c>
      <c r="I14" s="235" t="s">
        <v>100</v>
      </c>
      <c r="J14" s="234">
        <f>3.956535*1.3</f>
        <v>5.1434955</v>
      </c>
      <c r="K14" s="234">
        <v>5.5</v>
      </c>
      <c r="L14" s="234">
        <v>5.8</v>
      </c>
      <c r="M14" s="234">
        <f>4.763427*1.3</f>
        <v>6.1924551</v>
      </c>
      <c r="N14" s="234">
        <v>6.4</v>
      </c>
      <c r="O14" s="234">
        <f>5.140089*1.3</f>
        <v>6.6821157</v>
      </c>
      <c r="P14" s="234">
        <f>5.23781*1.3</f>
        <v>6.809152999999999</v>
      </c>
      <c r="Q14" s="234">
        <f>5.430492*1.3</f>
        <v>7.059639600000001</v>
      </c>
      <c r="R14" s="234">
        <f>5.894855*1.3</f>
        <v>7.6633115</v>
      </c>
      <c r="S14" s="235">
        <v>7.813</v>
      </c>
      <c r="T14" s="235">
        <v>9.929</v>
      </c>
      <c r="U14" s="235">
        <v>9.946</v>
      </c>
      <c r="V14" s="234">
        <v>10</v>
      </c>
      <c r="W14" s="234">
        <v>10.5</v>
      </c>
      <c r="X14" s="234">
        <v>10.5</v>
      </c>
      <c r="Y14" s="234">
        <v>10.1</v>
      </c>
      <c r="Z14" s="234">
        <v>10.381082222547919</v>
      </c>
      <c r="AA14" s="289">
        <f t="shared" si="3"/>
        <v>2.7829923024546446</v>
      </c>
      <c r="AB14" s="154" t="s">
        <v>65</v>
      </c>
      <c r="AC14"/>
      <c r="AD14" s="296"/>
    </row>
    <row r="15" spans="1:29" ht="12.75" customHeight="1">
      <c r="A15" s="120"/>
      <c r="B15" s="107" t="s">
        <v>69</v>
      </c>
      <c r="C15" s="297">
        <v>10</v>
      </c>
      <c r="D15" s="297">
        <v>19</v>
      </c>
      <c r="E15" s="298">
        <v>28.507</v>
      </c>
      <c r="F15" s="298">
        <v>29.038</v>
      </c>
      <c r="G15" s="298">
        <v>29.52</v>
      </c>
      <c r="H15" s="298">
        <v>29.836</v>
      </c>
      <c r="I15" s="298">
        <v>30.56</v>
      </c>
      <c r="J15" s="298">
        <v>31.558</v>
      </c>
      <c r="K15" s="298">
        <v>32.8</v>
      </c>
      <c r="L15" s="298">
        <v>34.361</v>
      </c>
      <c r="M15" s="298">
        <v>35.756</v>
      </c>
      <c r="N15" s="298">
        <v>36.838</v>
      </c>
      <c r="O15" s="298">
        <v>38.375</v>
      </c>
      <c r="P15" s="298">
        <v>39.816</v>
      </c>
      <c r="Q15" s="298">
        <v>40.279</v>
      </c>
      <c r="R15" s="298">
        <v>41.29</v>
      </c>
      <c r="S15" s="233">
        <v>42.209</v>
      </c>
      <c r="T15" s="233">
        <v>43.39</v>
      </c>
      <c r="U15" s="233">
        <v>45.14</v>
      </c>
      <c r="V15" s="233">
        <v>47.468</v>
      </c>
      <c r="W15" s="233">
        <v>49.03</v>
      </c>
      <c r="X15" s="239">
        <v>48.3</v>
      </c>
      <c r="Y15" s="239">
        <v>46</v>
      </c>
      <c r="Z15" s="239">
        <v>45.85033276086042</v>
      </c>
      <c r="AA15" s="299">
        <f t="shared" si="3"/>
        <v>-0.32536356334691163</v>
      </c>
      <c r="AB15" s="107" t="s">
        <v>69</v>
      </c>
      <c r="AC15"/>
    </row>
    <row r="16" spans="1:29" ht="12.75" customHeight="1">
      <c r="A16" s="120"/>
      <c r="B16" s="154" t="s">
        <v>15</v>
      </c>
      <c r="C16" s="300">
        <v>4.5</v>
      </c>
      <c r="D16" s="300">
        <v>17.5</v>
      </c>
      <c r="E16" s="234">
        <v>35</v>
      </c>
      <c r="F16" s="234">
        <v>36</v>
      </c>
      <c r="G16" s="234">
        <v>37</v>
      </c>
      <c r="H16" s="234">
        <v>39</v>
      </c>
      <c r="I16" s="234">
        <v>42</v>
      </c>
      <c r="J16" s="234">
        <v>44</v>
      </c>
      <c r="K16" s="234">
        <v>47</v>
      </c>
      <c r="L16" s="234">
        <v>50</v>
      </c>
      <c r="M16" s="234">
        <v>53</v>
      </c>
      <c r="N16" s="234">
        <v>58</v>
      </c>
      <c r="O16" s="234">
        <v>63</v>
      </c>
      <c r="P16" s="234">
        <v>68</v>
      </c>
      <c r="Q16" s="234">
        <v>72</v>
      </c>
      <c r="R16" s="234">
        <v>76</v>
      </c>
      <c r="S16" s="234">
        <v>80</v>
      </c>
      <c r="T16" s="234">
        <v>85</v>
      </c>
      <c r="U16" s="234">
        <v>90</v>
      </c>
      <c r="V16" s="234">
        <v>95</v>
      </c>
      <c r="W16" s="234">
        <v>100</v>
      </c>
      <c r="X16" s="234">
        <v>101.3</v>
      </c>
      <c r="Y16" s="234">
        <v>99.6</v>
      </c>
      <c r="Z16" s="234">
        <v>98.32207994126013</v>
      </c>
      <c r="AA16" s="289">
        <f t="shared" si="3"/>
        <v>-1.2830522678111151</v>
      </c>
      <c r="AB16" s="154" t="s">
        <v>15</v>
      </c>
      <c r="AC16"/>
    </row>
    <row r="17" spans="1:29" ht="12.75" customHeight="1">
      <c r="A17" s="120"/>
      <c r="B17" s="107" t="s">
        <v>67</v>
      </c>
      <c r="C17" s="286">
        <v>64.3</v>
      </c>
      <c r="D17" s="286">
        <v>130.9</v>
      </c>
      <c r="E17" s="301">
        <v>174.4</v>
      </c>
      <c r="F17" s="240">
        <v>207.542</v>
      </c>
      <c r="G17" s="233">
        <v>218.27</v>
      </c>
      <c r="H17" s="233">
        <v>229</v>
      </c>
      <c r="I17" s="233">
        <v>239.7</v>
      </c>
      <c r="J17" s="240">
        <v>250.374</v>
      </c>
      <c r="K17" s="233">
        <v>259</v>
      </c>
      <c r="L17" s="233">
        <v>267.6</v>
      </c>
      <c r="M17" s="240">
        <v>276.173</v>
      </c>
      <c r="N17" s="240">
        <v>293.54</v>
      </c>
      <c r="O17" s="240">
        <v>302.611</v>
      </c>
      <c r="P17" s="240">
        <v>307.955</v>
      </c>
      <c r="Q17" s="233">
        <v>315</v>
      </c>
      <c r="R17" s="240">
        <v>321.928</v>
      </c>
      <c r="S17" s="240">
        <v>330.192</v>
      </c>
      <c r="T17" s="240">
        <v>337.797</v>
      </c>
      <c r="U17" s="240">
        <v>340.937</v>
      </c>
      <c r="V17" s="240">
        <v>343.293</v>
      </c>
      <c r="W17" s="240">
        <v>342.611</v>
      </c>
      <c r="X17" s="240">
        <v>350.401</v>
      </c>
      <c r="Y17" s="240">
        <v>341.629</v>
      </c>
      <c r="Z17" s="240">
        <v>334.021</v>
      </c>
      <c r="AA17" s="302">
        <f t="shared" si="3"/>
        <v>-2.226977217976227</v>
      </c>
      <c r="AB17" s="107" t="s">
        <v>67</v>
      </c>
      <c r="AC17"/>
    </row>
    <row r="18" spans="1:29" ht="12.75" customHeight="1">
      <c r="A18" s="120"/>
      <c r="B18" s="154" t="s">
        <v>68</v>
      </c>
      <c r="C18" s="288">
        <v>304.7</v>
      </c>
      <c r="D18" s="288">
        <v>443.84071500000005</v>
      </c>
      <c r="E18" s="235">
        <v>617.3181870963859</v>
      </c>
      <c r="F18" s="235">
        <v>624.6318919926387</v>
      </c>
      <c r="G18" s="235">
        <v>642.2514657788558</v>
      </c>
      <c r="H18" s="235">
        <v>649.5142961605052</v>
      </c>
      <c r="I18" s="235">
        <v>660.1598442874678</v>
      </c>
      <c r="J18" s="235">
        <v>677.3379416001114</v>
      </c>
      <c r="K18" s="235">
        <v>684.6687077295499</v>
      </c>
      <c r="L18" s="235">
        <v>700.4696258358852</v>
      </c>
      <c r="M18" s="235">
        <v>726.7571600995801</v>
      </c>
      <c r="N18" s="235">
        <v>750.1850414870981</v>
      </c>
      <c r="O18" s="235">
        <v>754.3599057881979</v>
      </c>
      <c r="P18" s="235">
        <v>786.787427670848</v>
      </c>
      <c r="Q18" s="235">
        <v>798.1023235585087</v>
      </c>
      <c r="R18" s="235">
        <v>804.8504961196273</v>
      </c>
      <c r="S18" s="235">
        <v>806.9615005610436</v>
      </c>
      <c r="T18" s="235">
        <v>800.7546574089764</v>
      </c>
      <c r="U18" s="235">
        <v>801.6629064233036</v>
      </c>
      <c r="V18" s="235">
        <v>811.9763381708891</v>
      </c>
      <c r="W18" s="235">
        <v>799.9880873746748</v>
      </c>
      <c r="X18" s="235">
        <v>802.8870307981914</v>
      </c>
      <c r="Y18" s="235">
        <v>810.7932714109556</v>
      </c>
      <c r="Z18" s="235">
        <v>812.6563135177865</v>
      </c>
      <c r="AA18" s="303">
        <f t="shared" si="3"/>
        <v>0.22978016376342225</v>
      </c>
      <c r="AB18" s="154" t="s">
        <v>68</v>
      </c>
      <c r="AC18"/>
    </row>
    <row r="19" spans="1:29" s="214" customFormat="1" ht="12.75" customHeight="1">
      <c r="A19" s="290"/>
      <c r="B19" s="107" t="s">
        <v>70</v>
      </c>
      <c r="C19" s="304">
        <v>211.934</v>
      </c>
      <c r="D19" s="304">
        <v>324.034</v>
      </c>
      <c r="E19" s="305">
        <v>522.593</v>
      </c>
      <c r="F19" s="239">
        <v>538.27</v>
      </c>
      <c r="G19" s="239">
        <v>602.21</v>
      </c>
      <c r="H19" s="239">
        <v>603.09</v>
      </c>
      <c r="I19" s="238">
        <v>600.3</v>
      </c>
      <c r="J19" s="238">
        <v>614.713</v>
      </c>
      <c r="K19" s="238">
        <v>627.383</v>
      </c>
      <c r="L19" s="238">
        <v>638.837</v>
      </c>
      <c r="M19" s="238">
        <v>662.545</v>
      </c>
      <c r="N19" s="306">
        <v>663.319</v>
      </c>
      <c r="O19" s="307">
        <v>713.931</v>
      </c>
      <c r="P19" s="238">
        <f>O19+($T$18-$O$18)/5</f>
        <v>723.2099503241558</v>
      </c>
      <c r="Q19" s="238">
        <f>P19+($T$18-$O$18)/5</f>
        <v>732.4889006483115</v>
      </c>
      <c r="R19" s="238">
        <f>Q19+($T$18-$O$18)/5</f>
        <v>741.7678509724673</v>
      </c>
      <c r="S19" s="238">
        <f>R19+($T$18-$O$18)/5</f>
        <v>751.046801296623</v>
      </c>
      <c r="T19" s="238">
        <v>677.014</v>
      </c>
      <c r="U19" s="238">
        <v>676.255</v>
      </c>
      <c r="V19" s="238">
        <v>677.056</v>
      </c>
      <c r="W19" s="238">
        <v>676.359</v>
      </c>
      <c r="X19" s="236">
        <v>719.912</v>
      </c>
      <c r="Y19" s="236">
        <v>698.39</v>
      </c>
      <c r="Z19" s="236">
        <v>665.818</v>
      </c>
      <c r="AA19" s="294">
        <f t="shared" si="3"/>
        <v>-4.663869757585303</v>
      </c>
      <c r="AB19" s="107" t="s">
        <v>70</v>
      </c>
      <c r="AC19"/>
    </row>
    <row r="20" spans="1:29" ht="12.75" customHeight="1">
      <c r="A20" s="120"/>
      <c r="B20" s="154" t="s">
        <v>72</v>
      </c>
      <c r="C20" s="288" t="s">
        <v>100</v>
      </c>
      <c r="D20" s="288" t="s">
        <v>100</v>
      </c>
      <c r="E20" s="235" t="s">
        <v>100</v>
      </c>
      <c r="F20" s="235" t="s">
        <v>100</v>
      </c>
      <c r="G20" s="235" t="s">
        <v>100</v>
      </c>
      <c r="H20" s="235" t="s">
        <v>100</v>
      </c>
      <c r="I20" s="235" t="s">
        <v>100</v>
      </c>
      <c r="J20" s="308">
        <v>3.4</v>
      </c>
      <c r="K20" s="308">
        <v>3.5</v>
      </c>
      <c r="L20" s="308">
        <v>3.6</v>
      </c>
      <c r="M20" s="308">
        <v>3.7</v>
      </c>
      <c r="N20" s="308">
        <v>3.8</v>
      </c>
      <c r="O20" s="308">
        <v>3.9</v>
      </c>
      <c r="P20" s="308">
        <v>4</v>
      </c>
      <c r="Q20" s="308">
        <v>4.1</v>
      </c>
      <c r="R20" s="308">
        <v>4.15</v>
      </c>
      <c r="S20" s="234">
        <v>4.6</v>
      </c>
      <c r="T20" s="234">
        <v>4.8</v>
      </c>
      <c r="U20" s="234">
        <v>5</v>
      </c>
      <c r="V20" s="234">
        <v>5.3</v>
      </c>
      <c r="W20" s="234">
        <v>5.75</v>
      </c>
      <c r="X20" s="234">
        <v>6</v>
      </c>
      <c r="Y20" s="234">
        <v>5.9</v>
      </c>
      <c r="Z20" s="234">
        <v>5.93190592556501</v>
      </c>
      <c r="AA20" s="289">
        <f t="shared" si="3"/>
        <v>0.540778399406932</v>
      </c>
      <c r="AB20" s="154" t="s">
        <v>72</v>
      </c>
      <c r="AC20"/>
    </row>
    <row r="21" spans="1:29" s="214" customFormat="1" ht="12.75" customHeight="1">
      <c r="A21" s="290"/>
      <c r="B21" s="107" t="s">
        <v>73</v>
      </c>
      <c r="C21" s="304" t="s">
        <v>100</v>
      </c>
      <c r="D21" s="304" t="s">
        <v>100</v>
      </c>
      <c r="E21" s="238" t="s">
        <v>100</v>
      </c>
      <c r="F21" s="238" t="s">
        <v>100</v>
      </c>
      <c r="G21" s="238" t="s">
        <v>100</v>
      </c>
      <c r="H21" s="238" t="s">
        <v>100</v>
      </c>
      <c r="I21" s="238" t="s">
        <v>100</v>
      </c>
      <c r="J21" s="309">
        <v>7.5</v>
      </c>
      <c r="K21" s="309">
        <v>8</v>
      </c>
      <c r="L21" s="309">
        <v>9</v>
      </c>
      <c r="M21" s="309">
        <v>10</v>
      </c>
      <c r="N21" s="309">
        <v>11</v>
      </c>
      <c r="O21" s="309">
        <v>11.5</v>
      </c>
      <c r="P21" s="309">
        <v>12</v>
      </c>
      <c r="Q21" s="309">
        <v>12.5</v>
      </c>
      <c r="R21" s="309">
        <v>13</v>
      </c>
      <c r="S21" s="239">
        <v>11.5064</v>
      </c>
      <c r="T21" s="238">
        <v>12.1115</v>
      </c>
      <c r="U21" s="239">
        <v>14.0196</v>
      </c>
      <c r="V21" s="239">
        <v>15.9572</v>
      </c>
      <c r="W21" s="238">
        <v>14.2525</v>
      </c>
      <c r="X21" s="238">
        <v>12.70369</v>
      </c>
      <c r="Y21" s="238">
        <v>12.31234</v>
      </c>
      <c r="Z21" s="238">
        <v>11.3499</v>
      </c>
      <c r="AA21" s="299">
        <f t="shared" si="3"/>
        <v>-7.816873153275509</v>
      </c>
      <c r="AB21" s="107" t="s">
        <v>73</v>
      </c>
      <c r="AC21"/>
    </row>
    <row r="22" spans="1:29" ht="12.75" customHeight="1">
      <c r="A22" s="120"/>
      <c r="B22" s="154" t="s">
        <v>74</v>
      </c>
      <c r="C22" s="288" t="s">
        <v>100</v>
      </c>
      <c r="D22" s="288" t="s">
        <v>100</v>
      </c>
      <c r="E22" s="235" t="s">
        <v>100</v>
      </c>
      <c r="F22" s="235" t="s">
        <v>100</v>
      </c>
      <c r="G22" s="235" t="s">
        <v>100</v>
      </c>
      <c r="H22" s="235" t="s">
        <v>100</v>
      </c>
      <c r="I22" s="235" t="s">
        <v>100</v>
      </c>
      <c r="J22" s="234">
        <v>16</v>
      </c>
      <c r="K22" s="234">
        <v>18</v>
      </c>
      <c r="L22" s="234">
        <v>20</v>
      </c>
      <c r="M22" s="234">
        <v>22</v>
      </c>
      <c r="N22" s="234">
        <v>25</v>
      </c>
      <c r="O22" s="234">
        <v>26</v>
      </c>
      <c r="P22" s="234">
        <v>26</v>
      </c>
      <c r="Q22" s="234">
        <v>26</v>
      </c>
      <c r="R22" s="234">
        <v>29</v>
      </c>
      <c r="S22" s="234">
        <v>31</v>
      </c>
      <c r="T22" s="235">
        <v>34.793</v>
      </c>
      <c r="U22" s="235">
        <v>39.472</v>
      </c>
      <c r="V22" s="235">
        <v>39.119</v>
      </c>
      <c r="W22" s="235">
        <v>37.991</v>
      </c>
      <c r="X22" s="235">
        <v>36.055</v>
      </c>
      <c r="Y22" s="235">
        <v>32.569</v>
      </c>
      <c r="Z22" s="235">
        <v>29.908</v>
      </c>
      <c r="AA22" s="303">
        <f t="shared" si="3"/>
        <v>-8.17034603457276</v>
      </c>
      <c r="AB22" s="154" t="s">
        <v>74</v>
      </c>
      <c r="AC22"/>
    </row>
    <row r="23" spans="1:29" s="214" customFormat="1" ht="12.75" customHeight="1">
      <c r="A23" s="290"/>
      <c r="B23" s="107" t="s">
        <v>77</v>
      </c>
      <c r="C23" s="310">
        <v>2.1</v>
      </c>
      <c r="D23" s="310">
        <v>2.7</v>
      </c>
      <c r="E23" s="239">
        <v>4</v>
      </c>
      <c r="F23" s="239">
        <v>4.15</v>
      </c>
      <c r="G23" s="239">
        <v>4.3</v>
      </c>
      <c r="H23" s="239">
        <v>4.5</v>
      </c>
      <c r="I23" s="239">
        <v>4.6</v>
      </c>
      <c r="J23" s="239">
        <v>4.7</v>
      </c>
      <c r="K23" s="239">
        <v>4.8</v>
      </c>
      <c r="L23" s="239">
        <v>4.9</v>
      </c>
      <c r="M23" s="239">
        <v>5</v>
      </c>
      <c r="N23" s="239">
        <v>5</v>
      </c>
      <c r="O23" s="239">
        <v>5.6</v>
      </c>
      <c r="P23" s="239">
        <v>5.8</v>
      </c>
      <c r="Q23" s="239">
        <v>5.9</v>
      </c>
      <c r="R23" s="239">
        <v>6</v>
      </c>
      <c r="S23" s="239">
        <v>6.1</v>
      </c>
      <c r="T23" s="239">
        <v>6.3</v>
      </c>
      <c r="U23" s="239">
        <v>6.5</v>
      </c>
      <c r="V23" s="239">
        <v>6.6</v>
      </c>
      <c r="W23" s="239">
        <v>6.7</v>
      </c>
      <c r="X23" s="239">
        <v>6.7</v>
      </c>
      <c r="Y23" s="239">
        <v>6.5</v>
      </c>
      <c r="Z23" s="239">
        <v>6.591758023581571</v>
      </c>
      <c r="AA23" s="299">
        <f t="shared" si="3"/>
        <v>1.411661901254945</v>
      </c>
      <c r="AB23" s="107" t="s">
        <v>77</v>
      </c>
      <c r="AC23"/>
    </row>
    <row r="24" spans="1:34" ht="12.75" customHeight="1">
      <c r="A24" s="120"/>
      <c r="B24" s="154" t="s">
        <v>78</v>
      </c>
      <c r="C24" s="288" t="s">
        <v>100</v>
      </c>
      <c r="D24" s="288" t="s">
        <v>100</v>
      </c>
      <c r="E24" s="235">
        <v>47</v>
      </c>
      <c r="F24" s="235">
        <v>46.8</v>
      </c>
      <c r="G24" s="235">
        <v>44.6</v>
      </c>
      <c r="H24" s="235">
        <v>44</v>
      </c>
      <c r="I24" s="235">
        <v>44.9</v>
      </c>
      <c r="J24" s="235">
        <v>45.4</v>
      </c>
      <c r="K24" s="235">
        <v>45.6</v>
      </c>
      <c r="L24" s="235">
        <v>46.1</v>
      </c>
      <c r="M24" s="235">
        <v>46.15</v>
      </c>
      <c r="N24" s="235">
        <v>46.17</v>
      </c>
      <c r="O24" s="235">
        <v>46.18</v>
      </c>
      <c r="P24" s="235">
        <v>46.18</v>
      </c>
      <c r="Q24" s="235">
        <v>46.3</v>
      </c>
      <c r="R24" s="235">
        <v>47.517</v>
      </c>
      <c r="S24" s="235">
        <v>49.121</v>
      </c>
      <c r="T24" s="311">
        <v>49.403</v>
      </c>
      <c r="U24" s="235">
        <v>52.315</v>
      </c>
      <c r="V24" s="235">
        <v>53.946</v>
      </c>
      <c r="W24" s="235">
        <v>54.005</v>
      </c>
      <c r="X24" s="235">
        <v>54.396</v>
      </c>
      <c r="Y24" s="235">
        <v>52.595</v>
      </c>
      <c r="Z24" s="235">
        <v>52.251</v>
      </c>
      <c r="AA24" s="303">
        <f t="shared" si="3"/>
        <v>-0.6540545679247174</v>
      </c>
      <c r="AB24" s="154" t="s">
        <v>78</v>
      </c>
      <c r="AC24"/>
      <c r="AF24" s="312"/>
      <c r="AG24" s="312"/>
      <c r="AH24" s="312"/>
    </row>
    <row r="25" spans="1:29" s="214" customFormat="1" ht="12.75" customHeight="1">
      <c r="A25" s="290"/>
      <c r="B25" s="107" t="s">
        <v>79</v>
      </c>
      <c r="C25" s="304" t="s">
        <v>100</v>
      </c>
      <c r="D25" s="304" t="s">
        <v>100</v>
      </c>
      <c r="E25" s="238" t="s">
        <v>100</v>
      </c>
      <c r="F25" s="238" t="s">
        <v>100</v>
      </c>
      <c r="G25" s="238" t="s">
        <v>100</v>
      </c>
      <c r="H25" s="238" t="s">
        <v>100</v>
      </c>
      <c r="I25" s="238" t="s">
        <v>100</v>
      </c>
      <c r="J25" s="239">
        <v>1.7</v>
      </c>
      <c r="K25" s="239">
        <v>1.72</v>
      </c>
      <c r="L25" s="239">
        <v>1.74</v>
      </c>
      <c r="M25" s="239">
        <v>1.76</v>
      </c>
      <c r="N25" s="239">
        <v>1.78</v>
      </c>
      <c r="O25" s="239">
        <v>1.8</v>
      </c>
      <c r="P25" s="239">
        <v>1.8</v>
      </c>
      <c r="Q25" s="239">
        <v>1.85</v>
      </c>
      <c r="R25" s="239">
        <v>1.9</v>
      </c>
      <c r="S25" s="239">
        <v>1.95</v>
      </c>
      <c r="T25" s="239">
        <v>2</v>
      </c>
      <c r="U25" s="239">
        <v>2.05</v>
      </c>
      <c r="V25" s="239">
        <v>2.1</v>
      </c>
      <c r="W25" s="239">
        <v>2.15</v>
      </c>
      <c r="X25" s="239">
        <v>2.2</v>
      </c>
      <c r="Y25" s="239">
        <v>2.2</v>
      </c>
      <c r="Z25" s="239">
        <v>2.2297181531995443</v>
      </c>
      <c r="AA25" s="299">
        <f t="shared" si="3"/>
        <v>1.3508251454338307</v>
      </c>
      <c r="AB25" s="107" t="s">
        <v>79</v>
      </c>
      <c r="AC25"/>
    </row>
    <row r="26" spans="1:30" ht="12.75" customHeight="1">
      <c r="A26" s="120"/>
      <c r="B26" s="154" t="s">
        <v>16</v>
      </c>
      <c r="C26" s="288">
        <v>67.1</v>
      </c>
      <c r="D26" s="313">
        <v>108.1</v>
      </c>
      <c r="E26" s="235">
        <v>137.3</v>
      </c>
      <c r="F26" s="235">
        <v>124.5</v>
      </c>
      <c r="G26" s="235">
        <v>129.1</v>
      </c>
      <c r="H26" s="235">
        <v>126.1</v>
      </c>
      <c r="I26" s="235">
        <v>128.8</v>
      </c>
      <c r="J26" s="235">
        <v>131.4</v>
      </c>
      <c r="K26" s="235">
        <v>132.7</v>
      </c>
      <c r="L26" s="235">
        <v>136.5</v>
      </c>
      <c r="M26" s="235">
        <v>137.1</v>
      </c>
      <c r="N26" s="235">
        <v>141.3</v>
      </c>
      <c r="O26" s="235">
        <v>141.1</v>
      </c>
      <c r="P26" s="235">
        <v>141.6</v>
      </c>
      <c r="Q26" s="235">
        <v>144.2</v>
      </c>
      <c r="R26" s="235">
        <v>146.1</v>
      </c>
      <c r="S26" s="235">
        <v>151.6</v>
      </c>
      <c r="T26" s="235">
        <v>148.8</v>
      </c>
      <c r="U26" s="235">
        <v>148</v>
      </c>
      <c r="V26" s="235">
        <v>148.8</v>
      </c>
      <c r="W26" s="235">
        <v>147</v>
      </c>
      <c r="X26" s="234">
        <v>146.3</v>
      </c>
      <c r="Y26" s="234">
        <v>141.2</v>
      </c>
      <c r="Z26" s="235">
        <v>140.1</v>
      </c>
      <c r="AA26" s="289">
        <f t="shared" si="3"/>
        <v>-0.7790368271954691</v>
      </c>
      <c r="AB26" s="154" t="s">
        <v>16</v>
      </c>
      <c r="AC26"/>
      <c r="AD26" s="135"/>
    </row>
    <row r="27" spans="1:31" s="214" customFormat="1" ht="12.75" customHeight="1">
      <c r="A27" s="290"/>
      <c r="B27" s="107" t="s">
        <v>82</v>
      </c>
      <c r="C27" s="304">
        <v>32.9</v>
      </c>
      <c r="D27" s="304">
        <v>47.8</v>
      </c>
      <c r="E27" s="238">
        <v>55.677</v>
      </c>
      <c r="F27" s="238">
        <v>57.391</v>
      </c>
      <c r="G27" s="238">
        <v>58.959</v>
      </c>
      <c r="H27" s="238">
        <v>59.785</v>
      </c>
      <c r="I27" s="238">
        <v>61.803</v>
      </c>
      <c r="J27" s="238">
        <v>62.156</v>
      </c>
      <c r="K27" s="238">
        <v>63.073</v>
      </c>
      <c r="L27" s="238">
        <v>63.864</v>
      </c>
      <c r="M27" s="238">
        <v>64.861</v>
      </c>
      <c r="N27" s="238">
        <v>66.11</v>
      </c>
      <c r="O27" s="238">
        <v>66.668</v>
      </c>
      <c r="P27" s="238">
        <v>67.104</v>
      </c>
      <c r="Q27" s="238">
        <v>67.96</v>
      </c>
      <c r="R27" s="238">
        <v>68.941</v>
      </c>
      <c r="S27" s="238">
        <v>69.608</v>
      </c>
      <c r="T27" s="238">
        <v>70.557</v>
      </c>
      <c r="U27" s="238">
        <v>70.893</v>
      </c>
      <c r="V27" s="238">
        <v>72.023</v>
      </c>
      <c r="W27" s="238">
        <v>73.281</v>
      </c>
      <c r="X27" s="236">
        <v>72.675</v>
      </c>
      <c r="Y27" s="236">
        <v>73.467</v>
      </c>
      <c r="Z27" s="236">
        <v>74.451</v>
      </c>
      <c r="AA27" s="294">
        <f t="shared" si="3"/>
        <v>1.3393768630813696</v>
      </c>
      <c r="AB27" s="107" t="s">
        <v>82</v>
      </c>
      <c r="AC27"/>
      <c r="AE27" s="314"/>
    </row>
    <row r="28" spans="1:29" ht="12.75" customHeight="1">
      <c r="A28" s="120"/>
      <c r="B28" s="154" t="s">
        <v>81</v>
      </c>
      <c r="C28" s="288" t="s">
        <v>100</v>
      </c>
      <c r="D28" s="288" t="s">
        <v>100</v>
      </c>
      <c r="E28" s="235" t="s">
        <v>100</v>
      </c>
      <c r="F28" s="235"/>
      <c r="G28" s="235"/>
      <c r="H28" s="235"/>
      <c r="I28" s="235"/>
      <c r="J28" s="235">
        <v>110.7</v>
      </c>
      <c r="K28" s="235">
        <v>121.6</v>
      </c>
      <c r="L28" s="235">
        <v>132</v>
      </c>
      <c r="M28" s="235">
        <v>141.1</v>
      </c>
      <c r="N28" s="235">
        <v>143</v>
      </c>
      <c r="O28" s="235">
        <v>149.7</v>
      </c>
      <c r="P28" s="235">
        <v>157.7</v>
      </c>
      <c r="Q28" s="235">
        <v>167.4</v>
      </c>
      <c r="R28" s="235">
        <v>172.4</v>
      </c>
      <c r="S28" s="235">
        <v>181.5</v>
      </c>
      <c r="T28" s="235">
        <v>197.3</v>
      </c>
      <c r="U28" s="235">
        <v>219.24</v>
      </c>
      <c r="V28" s="235">
        <v>239.26</v>
      </c>
      <c r="W28" s="235">
        <v>273.5</v>
      </c>
      <c r="X28" s="235">
        <v>285.028</v>
      </c>
      <c r="Y28" s="235">
        <v>297.904</v>
      </c>
      <c r="Z28" s="235">
        <v>313.209</v>
      </c>
      <c r="AA28" s="303">
        <f t="shared" si="3"/>
        <v>5.137561093506633</v>
      </c>
      <c r="AB28" s="154" t="s">
        <v>81</v>
      </c>
      <c r="AC28"/>
    </row>
    <row r="29" spans="1:29" s="214" customFormat="1" ht="12.75" customHeight="1">
      <c r="A29" s="290"/>
      <c r="B29" s="107" t="s">
        <v>93</v>
      </c>
      <c r="C29" s="310">
        <v>13.8</v>
      </c>
      <c r="D29" s="310">
        <v>29</v>
      </c>
      <c r="E29" s="239">
        <v>40</v>
      </c>
      <c r="F29" s="239">
        <v>41</v>
      </c>
      <c r="G29" s="239">
        <v>43</v>
      </c>
      <c r="H29" s="239">
        <v>46</v>
      </c>
      <c r="I29" s="239">
        <v>49</v>
      </c>
      <c r="J29" s="239">
        <v>52.5</v>
      </c>
      <c r="K29" s="239">
        <v>56</v>
      </c>
      <c r="L29" s="239">
        <v>60</v>
      </c>
      <c r="M29" s="239">
        <v>64</v>
      </c>
      <c r="N29" s="239">
        <v>68</v>
      </c>
      <c r="O29" s="239">
        <v>71</v>
      </c>
      <c r="P29" s="239">
        <v>73.2</v>
      </c>
      <c r="Q29" s="239">
        <v>77.7</v>
      </c>
      <c r="R29" s="239">
        <v>81.5</v>
      </c>
      <c r="S29" s="239">
        <v>83</v>
      </c>
      <c r="T29" s="239">
        <v>85</v>
      </c>
      <c r="U29" s="239">
        <v>86</v>
      </c>
      <c r="V29" s="239">
        <v>86.6</v>
      </c>
      <c r="W29" s="239">
        <v>87</v>
      </c>
      <c r="X29" s="239">
        <v>86</v>
      </c>
      <c r="Y29" s="239">
        <v>83.7</v>
      </c>
      <c r="Z29" s="239">
        <v>83.19008452892002</v>
      </c>
      <c r="AA29" s="299">
        <f t="shared" si="3"/>
        <v>-0.6092180060692698</v>
      </c>
      <c r="AB29" s="107" t="s">
        <v>93</v>
      </c>
      <c r="AC29"/>
    </row>
    <row r="30" spans="1:29" ht="12.75" customHeight="1">
      <c r="A30" s="120"/>
      <c r="B30" s="154" t="s">
        <v>103</v>
      </c>
      <c r="C30" s="300"/>
      <c r="D30" s="300"/>
      <c r="E30" s="234"/>
      <c r="F30" s="234"/>
      <c r="G30" s="234"/>
      <c r="H30" s="234"/>
      <c r="I30" s="234"/>
      <c r="J30" s="234">
        <v>40</v>
      </c>
      <c r="K30" s="234">
        <v>42.5</v>
      </c>
      <c r="L30" s="234">
        <v>45</v>
      </c>
      <c r="M30" s="234">
        <v>47</v>
      </c>
      <c r="N30" s="234">
        <v>49</v>
      </c>
      <c r="O30" s="234">
        <v>51</v>
      </c>
      <c r="P30" s="234">
        <v>52.5</v>
      </c>
      <c r="Q30" s="234">
        <v>54</v>
      </c>
      <c r="R30" s="234">
        <v>56</v>
      </c>
      <c r="S30" s="234">
        <v>58</v>
      </c>
      <c r="T30" s="234">
        <v>61</v>
      </c>
      <c r="U30" s="234">
        <v>64.1</v>
      </c>
      <c r="V30" s="234">
        <v>67.5</v>
      </c>
      <c r="W30" s="234">
        <v>70.5</v>
      </c>
      <c r="X30" s="234">
        <v>75.5</v>
      </c>
      <c r="Y30" s="234">
        <v>75.5</v>
      </c>
      <c r="Z30" s="234">
        <v>74.97833815332045</v>
      </c>
      <c r="AA30" s="289">
        <f t="shared" si="3"/>
        <v>-0.6909428432841764</v>
      </c>
      <c r="AB30" s="154" t="s">
        <v>103</v>
      </c>
      <c r="AC30"/>
    </row>
    <row r="31" spans="1:31" ht="12.75" customHeight="1">
      <c r="A31" s="120"/>
      <c r="B31" s="107" t="s">
        <v>84</v>
      </c>
      <c r="C31" s="286" t="s">
        <v>100</v>
      </c>
      <c r="D31" s="286" t="s">
        <v>100</v>
      </c>
      <c r="E31" s="315">
        <v>13.32</v>
      </c>
      <c r="F31" s="315">
        <v>12.606</v>
      </c>
      <c r="G31" s="315">
        <v>13.386</v>
      </c>
      <c r="H31" s="315">
        <v>13.979</v>
      </c>
      <c r="I31" s="315">
        <v>15.178</v>
      </c>
      <c r="J31" s="315">
        <v>16.338</v>
      </c>
      <c r="K31" s="315">
        <v>17.794</v>
      </c>
      <c r="L31" s="315">
        <v>19.011</v>
      </c>
      <c r="M31" s="315">
        <v>18.98</v>
      </c>
      <c r="N31" s="315">
        <v>20.074</v>
      </c>
      <c r="O31" s="315">
        <v>20.325</v>
      </c>
      <c r="P31" s="315">
        <v>20.801</v>
      </c>
      <c r="Q31" s="315">
        <v>21.287</v>
      </c>
      <c r="R31" s="315">
        <v>21.331</v>
      </c>
      <c r="S31" s="240">
        <v>22.042</v>
      </c>
      <c r="T31" s="240">
        <v>22.509</v>
      </c>
      <c r="U31" s="240">
        <v>23.006</v>
      </c>
      <c r="V31" s="240">
        <v>24.355</v>
      </c>
      <c r="W31" s="240">
        <v>24.878</v>
      </c>
      <c r="X31" s="238">
        <v>25.775</v>
      </c>
      <c r="Y31" s="238">
        <v>25.636</v>
      </c>
      <c r="Z31" s="239">
        <v>25.487436219641157</v>
      </c>
      <c r="AA31" s="316">
        <f t="shared" si="3"/>
        <v>-0.5795123278157348</v>
      </c>
      <c r="AB31" s="107" t="s">
        <v>84</v>
      </c>
      <c r="AC31"/>
      <c r="AE31" s="317"/>
    </row>
    <row r="32" spans="1:29" ht="12.75" customHeight="1">
      <c r="A32" s="120"/>
      <c r="B32" s="154" t="s">
        <v>86</v>
      </c>
      <c r="C32" s="318"/>
      <c r="D32" s="318"/>
      <c r="E32" s="319"/>
      <c r="F32" s="235"/>
      <c r="G32" s="235"/>
      <c r="H32" s="235">
        <v>17.554</v>
      </c>
      <c r="I32" s="235">
        <v>17.293</v>
      </c>
      <c r="J32" s="235">
        <v>17.977</v>
      </c>
      <c r="K32" s="235">
        <v>17.993</v>
      </c>
      <c r="L32" s="235">
        <v>18.568</v>
      </c>
      <c r="M32" s="235">
        <v>19.302</v>
      </c>
      <c r="N32" s="235">
        <v>21.541</v>
      </c>
      <c r="O32" s="235">
        <v>23.929</v>
      </c>
      <c r="P32" s="235">
        <v>24.056</v>
      </c>
      <c r="Q32" s="235">
        <v>24.978</v>
      </c>
      <c r="R32" s="235">
        <v>25.224</v>
      </c>
      <c r="S32" s="235">
        <v>25.332</v>
      </c>
      <c r="T32" s="235">
        <v>25.824</v>
      </c>
      <c r="U32" s="235">
        <v>26.342</v>
      </c>
      <c r="V32" s="235">
        <v>25.994</v>
      </c>
      <c r="W32" s="235">
        <v>26.395</v>
      </c>
      <c r="X32" s="235">
        <v>26.42</v>
      </c>
      <c r="Y32" s="235">
        <v>26.879</v>
      </c>
      <c r="Z32" s="235">
        <v>26.887</v>
      </c>
      <c r="AA32" s="303">
        <f t="shared" si="3"/>
        <v>0.02976301201680087</v>
      </c>
      <c r="AB32" s="154" t="s">
        <v>86</v>
      </c>
      <c r="AC32"/>
    </row>
    <row r="33" spans="1:29" ht="12.75" customHeight="1">
      <c r="A33" s="120"/>
      <c r="B33" s="107" t="s">
        <v>88</v>
      </c>
      <c r="C33" s="286">
        <v>23.7</v>
      </c>
      <c r="D33" s="286">
        <v>34.8</v>
      </c>
      <c r="E33" s="240">
        <v>51.2</v>
      </c>
      <c r="F33" s="240">
        <v>50.6</v>
      </c>
      <c r="G33" s="240">
        <v>50.5</v>
      </c>
      <c r="H33" s="240">
        <v>49.7</v>
      </c>
      <c r="I33" s="240">
        <v>49.6</v>
      </c>
      <c r="J33" s="240">
        <v>50</v>
      </c>
      <c r="K33" s="240">
        <v>50.4</v>
      </c>
      <c r="L33" s="240">
        <v>51.9</v>
      </c>
      <c r="M33" s="240">
        <v>53.3</v>
      </c>
      <c r="N33" s="240">
        <v>54.9</v>
      </c>
      <c r="O33" s="240">
        <v>55.7</v>
      </c>
      <c r="P33" s="240">
        <v>57</v>
      </c>
      <c r="Q33" s="240">
        <v>58.3</v>
      </c>
      <c r="R33" s="240">
        <v>59.59</v>
      </c>
      <c r="S33" s="240">
        <v>60.94</v>
      </c>
      <c r="T33" s="240">
        <v>61.91</v>
      </c>
      <c r="U33" s="240">
        <v>62.455</v>
      </c>
      <c r="V33" s="240">
        <v>63.785</v>
      </c>
      <c r="W33" s="240">
        <v>63.4</v>
      </c>
      <c r="X33" s="240">
        <v>64.33</v>
      </c>
      <c r="Y33" s="240">
        <f>64.745</f>
        <v>64.745</v>
      </c>
      <c r="Z33" s="240">
        <v>65.49</v>
      </c>
      <c r="AA33" s="302">
        <f t="shared" si="3"/>
        <v>1.1506680052513616</v>
      </c>
      <c r="AB33" s="107" t="s">
        <v>88</v>
      </c>
      <c r="AC33"/>
    </row>
    <row r="34" spans="1:29" ht="12.75" customHeight="1">
      <c r="A34" s="120"/>
      <c r="B34" s="154" t="s">
        <v>89</v>
      </c>
      <c r="C34" s="288">
        <v>56.1</v>
      </c>
      <c r="D34" s="313">
        <v>67.4</v>
      </c>
      <c r="E34" s="235">
        <v>85.945</v>
      </c>
      <c r="F34" s="235">
        <v>86.494</v>
      </c>
      <c r="G34" s="235">
        <v>87.552</v>
      </c>
      <c r="H34" s="235">
        <v>85.683</v>
      </c>
      <c r="I34" s="235">
        <v>86.65</v>
      </c>
      <c r="J34" s="235">
        <v>87.622</v>
      </c>
      <c r="K34" s="235">
        <v>87.983</v>
      </c>
      <c r="L34" s="235">
        <v>88.107</v>
      </c>
      <c r="M34" s="235">
        <v>88.811</v>
      </c>
      <c r="N34" s="320">
        <v>100.18352</v>
      </c>
      <c r="O34" s="235">
        <v>101.41244</v>
      </c>
      <c r="P34" s="235">
        <v>102.41913</v>
      </c>
      <c r="Q34" s="235">
        <v>105.33349</v>
      </c>
      <c r="R34" s="235">
        <v>106.33273</v>
      </c>
      <c r="S34" s="235">
        <v>107.05049</v>
      </c>
      <c r="T34" s="235">
        <v>107.4196</v>
      </c>
      <c r="U34" s="235">
        <v>107.06585</v>
      </c>
      <c r="V34" s="235">
        <v>109.46472</v>
      </c>
      <c r="W34" s="235">
        <v>108.21939</v>
      </c>
      <c r="X34" s="235">
        <v>108.34337</v>
      </c>
      <c r="Y34" s="235">
        <v>107.95002</v>
      </c>
      <c r="Z34" s="235">
        <v>109.1978</v>
      </c>
      <c r="AA34" s="303">
        <f t="shared" si="3"/>
        <v>1.1558867705629154</v>
      </c>
      <c r="AB34" s="154" t="s">
        <v>89</v>
      </c>
      <c r="AC34"/>
    </row>
    <row r="35" spans="1:29" ht="12.75" customHeight="1">
      <c r="A35" s="120"/>
      <c r="B35" s="109" t="s">
        <v>13</v>
      </c>
      <c r="C35" s="286">
        <v>297</v>
      </c>
      <c r="D35" s="286">
        <v>388</v>
      </c>
      <c r="E35" s="240">
        <v>588.0080122315558</v>
      </c>
      <c r="F35" s="240">
        <v>582.210511129872</v>
      </c>
      <c r="G35" s="240">
        <v>583.0444742310589</v>
      </c>
      <c r="H35" s="321">
        <v>583.7875633679132</v>
      </c>
      <c r="I35" s="240">
        <v>614</v>
      </c>
      <c r="J35" s="247">
        <v>617.9</v>
      </c>
      <c r="K35" s="247">
        <v>622.2654719600544</v>
      </c>
      <c r="L35" s="240">
        <v>632.3684424546157</v>
      </c>
      <c r="M35" s="240">
        <v>635.6775225864668</v>
      </c>
      <c r="N35" s="240">
        <v>642.0866819761951</v>
      </c>
      <c r="O35" s="240">
        <v>638.5660724907208</v>
      </c>
      <c r="P35" s="240">
        <v>651.3961997016211</v>
      </c>
      <c r="Q35" s="240">
        <v>672.8164287635371</v>
      </c>
      <c r="R35" s="240">
        <v>668.5380414680064</v>
      </c>
      <c r="S35" s="240">
        <v>673.0174233212372</v>
      </c>
      <c r="T35" s="240">
        <v>667.2371586317336</v>
      </c>
      <c r="U35" s="240">
        <v>672.6615910962998</v>
      </c>
      <c r="V35" s="240">
        <v>674.5590635722951</v>
      </c>
      <c r="W35" s="240">
        <v>666.8805409093018</v>
      </c>
      <c r="X35" s="247">
        <v>662.1119807626503</v>
      </c>
      <c r="Y35" s="247">
        <v>655.7338495946736</v>
      </c>
      <c r="Z35" s="247">
        <v>655.0819990212615</v>
      </c>
      <c r="AA35" s="322">
        <f t="shared" si="3"/>
        <v>-0.09940779690037971</v>
      </c>
      <c r="AB35" s="109" t="s">
        <v>13</v>
      </c>
      <c r="AC35"/>
    </row>
    <row r="36" spans="1:28" ht="12.75" customHeight="1">
      <c r="A36" s="120"/>
      <c r="B36" s="154" t="s">
        <v>164</v>
      </c>
      <c r="C36" s="323"/>
      <c r="D36" s="323"/>
      <c r="E36" s="249"/>
      <c r="F36" s="249"/>
      <c r="G36" s="249"/>
      <c r="H36" s="249"/>
      <c r="I36" s="249"/>
      <c r="J36" s="250">
        <v>12.5</v>
      </c>
      <c r="K36" s="250">
        <v>14.75</v>
      </c>
      <c r="L36" s="250">
        <v>16.5</v>
      </c>
      <c r="M36" s="250">
        <v>17.5</v>
      </c>
      <c r="N36" s="250">
        <v>19</v>
      </c>
      <c r="O36" s="250">
        <v>20</v>
      </c>
      <c r="P36" s="250">
        <v>21</v>
      </c>
      <c r="Q36" s="250">
        <v>22</v>
      </c>
      <c r="R36" s="250">
        <v>22.5</v>
      </c>
      <c r="S36" s="250">
        <v>23.5</v>
      </c>
      <c r="T36" s="250">
        <v>24</v>
      </c>
      <c r="U36" s="250">
        <v>25</v>
      </c>
      <c r="V36" s="250">
        <v>26</v>
      </c>
      <c r="W36" s="250">
        <v>27</v>
      </c>
      <c r="X36" s="234">
        <v>26.8</v>
      </c>
      <c r="Y36" s="234">
        <v>25.7</v>
      </c>
      <c r="Z36" s="235">
        <v>25.242</v>
      </c>
      <c r="AA36" s="289">
        <f t="shared" si="3"/>
        <v>-1.7821011673151617</v>
      </c>
      <c r="AB36" s="154" t="s">
        <v>164</v>
      </c>
    </row>
    <row r="37" spans="1:28" s="214" customFormat="1" ht="12.75" customHeight="1">
      <c r="A37" s="290"/>
      <c r="B37" s="107" t="s">
        <v>165</v>
      </c>
      <c r="C37" s="304"/>
      <c r="D37" s="304"/>
      <c r="E37" s="238"/>
      <c r="F37" s="238"/>
      <c r="G37" s="238"/>
      <c r="H37" s="309"/>
      <c r="I37" s="309"/>
      <c r="J37" s="239">
        <v>3.7</v>
      </c>
      <c r="K37" s="239">
        <v>3.8</v>
      </c>
      <c r="L37" s="239">
        <v>3.9</v>
      </c>
      <c r="M37" s="239">
        <v>4</v>
      </c>
      <c r="N37" s="239">
        <v>4.1</v>
      </c>
      <c r="O37" s="239">
        <v>4.2</v>
      </c>
      <c r="P37" s="239">
        <v>4</v>
      </c>
      <c r="Q37" s="239">
        <v>4.1</v>
      </c>
      <c r="R37" s="239">
        <v>4.25</v>
      </c>
      <c r="S37" s="239">
        <v>4.4</v>
      </c>
      <c r="T37" s="239">
        <v>4.5</v>
      </c>
      <c r="U37" s="239">
        <v>4.6</v>
      </c>
      <c r="V37" s="239">
        <v>4.7</v>
      </c>
      <c r="W37" s="239">
        <v>5</v>
      </c>
      <c r="X37" s="243">
        <v>5.2</v>
      </c>
      <c r="Y37" s="243">
        <v>5.5</v>
      </c>
      <c r="Z37" s="243">
        <v>5.493278924463532</v>
      </c>
      <c r="AA37" s="324">
        <f t="shared" si="3"/>
        <v>-0.12220137339032533</v>
      </c>
      <c r="AB37" s="107" t="s">
        <v>165</v>
      </c>
    </row>
    <row r="38" spans="1:28" ht="12.75" customHeight="1">
      <c r="A38" s="120"/>
      <c r="B38" s="156" t="s">
        <v>166</v>
      </c>
      <c r="C38" s="325" t="s">
        <v>100</v>
      </c>
      <c r="D38" s="325" t="s">
        <v>100</v>
      </c>
      <c r="E38" s="326">
        <v>34.325</v>
      </c>
      <c r="F38" s="326">
        <v>33.58</v>
      </c>
      <c r="G38" s="326">
        <v>36.889</v>
      </c>
      <c r="H38" s="326">
        <v>41.848</v>
      </c>
      <c r="I38" s="326">
        <v>45.736</v>
      </c>
      <c r="J38" s="326">
        <v>52.652</v>
      </c>
      <c r="K38" s="326">
        <v>57.486</v>
      </c>
      <c r="L38" s="251">
        <v>62.5</v>
      </c>
      <c r="M38" s="251">
        <v>67.5</v>
      </c>
      <c r="N38" s="251">
        <v>72.5</v>
      </c>
      <c r="O38" s="251">
        <v>79</v>
      </c>
      <c r="P38" s="251">
        <v>81</v>
      </c>
      <c r="Q38" s="251">
        <v>82</v>
      </c>
      <c r="R38" s="251">
        <v>84</v>
      </c>
      <c r="S38" s="251">
        <v>95</v>
      </c>
      <c r="T38" s="251">
        <v>100</v>
      </c>
      <c r="U38" s="251">
        <v>108</v>
      </c>
      <c r="V38" s="251">
        <v>114</v>
      </c>
      <c r="W38" s="251">
        <v>120</v>
      </c>
      <c r="X38" s="251">
        <v>123.1</v>
      </c>
      <c r="Y38" s="251">
        <v>125.2</v>
      </c>
      <c r="Z38" s="251">
        <v>133.2412680622496</v>
      </c>
      <c r="AA38" s="327">
        <f t="shared" si="3"/>
        <v>6.422738068889444</v>
      </c>
      <c r="AB38" s="156" t="s">
        <v>166</v>
      </c>
    </row>
    <row r="39" spans="1:28" ht="12.75" customHeight="1">
      <c r="A39" s="120"/>
      <c r="B39" s="107" t="s">
        <v>167</v>
      </c>
      <c r="C39" s="328" t="s">
        <v>100</v>
      </c>
      <c r="D39" s="328" t="s">
        <v>100</v>
      </c>
      <c r="E39" s="329" t="s">
        <v>100</v>
      </c>
      <c r="F39" s="329"/>
      <c r="G39" s="329"/>
      <c r="H39" s="329"/>
      <c r="I39" s="329"/>
      <c r="J39" s="329">
        <v>3.026</v>
      </c>
      <c r="K39" s="329">
        <v>3.168</v>
      </c>
      <c r="L39" s="329">
        <v>3.36</v>
      </c>
      <c r="M39" s="329">
        <v>3.561</v>
      </c>
      <c r="N39" s="329">
        <v>3.712</v>
      </c>
      <c r="O39" s="329">
        <v>3.765</v>
      </c>
      <c r="P39" s="329">
        <v>3.95</v>
      </c>
      <c r="Q39" s="329">
        <v>4.06</v>
      </c>
      <c r="R39" s="329">
        <v>4.174</v>
      </c>
      <c r="S39" s="329">
        <v>4.301</v>
      </c>
      <c r="T39" s="329">
        <v>4.558</v>
      </c>
      <c r="U39" s="240">
        <v>4.833</v>
      </c>
      <c r="V39" s="240">
        <v>5.077</v>
      </c>
      <c r="W39" s="240">
        <v>4.948</v>
      </c>
      <c r="X39" s="329">
        <v>5.002</v>
      </c>
      <c r="Y39" s="329">
        <v>4.958</v>
      </c>
      <c r="Z39" s="329">
        <v>4.776</v>
      </c>
      <c r="AA39" s="330">
        <f t="shared" si="3"/>
        <v>-3.6708350141185946</v>
      </c>
      <c r="AB39" s="107" t="s">
        <v>167</v>
      </c>
    </row>
    <row r="40" spans="1:28" ht="12.75" customHeight="1">
      <c r="A40" s="120"/>
      <c r="B40" s="154" t="s">
        <v>168</v>
      </c>
      <c r="C40" s="288">
        <f>17.781+0.429</f>
        <v>18.209999999999997</v>
      </c>
      <c r="D40" s="288">
        <f>30.436+0.625</f>
        <v>31.061</v>
      </c>
      <c r="E40" s="235">
        <f>42.696+0.523+0.278</f>
        <v>43.497</v>
      </c>
      <c r="F40" s="235">
        <f>42.252+0.513+0.247</f>
        <v>43.012</v>
      </c>
      <c r="G40" s="235">
        <f>42.39+0.545+0.237</f>
        <v>43.172000000000004</v>
      </c>
      <c r="H40" s="235">
        <f>43.128+0.553+0.262</f>
        <v>43.943</v>
      </c>
      <c r="I40" s="235">
        <f>43.605+0.561+0.367</f>
        <v>44.532999999999994</v>
      </c>
      <c r="J40" s="235">
        <f>43.659+0.566+0.505</f>
        <v>44.730000000000004</v>
      </c>
      <c r="K40" s="235">
        <f>45.217+0.57+0.642</f>
        <v>46.429</v>
      </c>
      <c r="L40" s="235">
        <f>46.078+0.6+0.98</f>
        <v>47.658</v>
      </c>
      <c r="M40" s="235">
        <f>47.294+0.613+1.359</f>
        <v>49.266</v>
      </c>
      <c r="N40" s="235">
        <f>48.233+0.601+1.497</f>
        <v>50.330999999999996</v>
      </c>
      <c r="O40" s="235">
        <f>49.055+0.583+1.535</f>
        <v>51.172999999999995</v>
      </c>
      <c r="P40" s="235">
        <f>50.226+0.609+1.522</f>
        <v>52.357</v>
      </c>
      <c r="Q40" s="235">
        <f>51.478+0.58+1.429</f>
        <v>53.487</v>
      </c>
      <c r="R40" s="235">
        <f>52.127+0.575+1.3</f>
        <v>54.002</v>
      </c>
      <c r="S40" s="235">
        <f>52.606+0.571+1.165</f>
        <v>54.342</v>
      </c>
      <c r="T40" s="235">
        <f>52.4+0.556+1.071</f>
        <v>54.026999999999994</v>
      </c>
      <c r="U40" s="235">
        <f>53.302+0.552+1.084</f>
        <v>54.938</v>
      </c>
      <c r="V40" s="235">
        <f>54.866+0.665+1.143</f>
        <v>56.674</v>
      </c>
      <c r="W40" s="235">
        <f>55.956+0.636+1.151</f>
        <v>57.74300000000001</v>
      </c>
      <c r="X40" s="235">
        <f>56.536+1.132+0.624</f>
        <v>58.292</v>
      </c>
      <c r="Y40" s="235">
        <f>57.034+1.199+0.545</f>
        <v>58.778</v>
      </c>
      <c r="Z40" s="235">
        <f>58.029+1.342+0.532</f>
        <v>59.903000000000006</v>
      </c>
      <c r="AA40" s="303">
        <f t="shared" si="3"/>
        <v>1.9139814216203348</v>
      </c>
      <c r="AB40" s="154" t="s">
        <v>168</v>
      </c>
    </row>
    <row r="41" spans="1:28" ht="12.75" customHeight="1">
      <c r="A41" s="120"/>
      <c r="B41" s="109" t="s">
        <v>169</v>
      </c>
      <c r="C41" s="331">
        <v>41.836</v>
      </c>
      <c r="D41" s="331">
        <v>61.817</v>
      </c>
      <c r="E41" s="247">
        <v>73.271</v>
      </c>
      <c r="F41" s="247">
        <v>74.744</v>
      </c>
      <c r="G41" s="247">
        <v>73.372</v>
      </c>
      <c r="H41" s="247">
        <v>71.417</v>
      </c>
      <c r="I41" s="332">
        <v>68.358</v>
      </c>
      <c r="J41" s="247">
        <v>69.586</v>
      </c>
      <c r="K41" s="247">
        <v>70.774</v>
      </c>
      <c r="L41" s="247">
        <v>71.406</v>
      </c>
      <c r="M41" s="247">
        <v>72.54</v>
      </c>
      <c r="N41" s="247">
        <v>73.531</v>
      </c>
      <c r="O41" s="247">
        <v>74.984</v>
      </c>
      <c r="P41" s="247">
        <v>75.494</v>
      </c>
      <c r="Q41" s="247">
        <v>76.369</v>
      </c>
      <c r="R41" s="247">
        <v>77.001</v>
      </c>
      <c r="S41" s="247">
        <v>77.74</v>
      </c>
      <c r="T41" s="247">
        <v>77.844</v>
      </c>
      <c r="U41" s="247">
        <v>78.394</v>
      </c>
      <c r="V41" s="247">
        <v>79.261</v>
      </c>
      <c r="W41" s="247">
        <v>80.689</v>
      </c>
      <c r="X41" s="247">
        <v>82.459</v>
      </c>
      <c r="Y41" s="247">
        <v>83.775</v>
      </c>
      <c r="Z41" s="247">
        <v>84.889</v>
      </c>
      <c r="AA41" s="322">
        <f t="shared" si="3"/>
        <v>1.3297523127424569</v>
      </c>
      <c r="AB41" s="109" t="s">
        <v>169</v>
      </c>
    </row>
    <row r="42" spans="1:28" ht="15" customHeight="1">
      <c r="A42" s="120"/>
      <c r="B42" s="333" t="s">
        <v>202</v>
      </c>
      <c r="C42" s="334"/>
      <c r="D42" s="334"/>
      <c r="E42" s="334"/>
      <c r="F42" s="334"/>
      <c r="G42" s="334"/>
      <c r="H42" s="334"/>
      <c r="I42" s="334"/>
      <c r="J42" s="334"/>
      <c r="K42" s="334"/>
      <c r="L42" s="334"/>
      <c r="M42" s="334"/>
      <c r="N42" s="334"/>
      <c r="O42" s="334"/>
      <c r="P42" s="334"/>
      <c r="Q42" s="334"/>
      <c r="R42" s="334"/>
      <c r="S42" s="334"/>
      <c r="T42" s="206"/>
      <c r="U42" s="206"/>
      <c r="V42" s="206"/>
      <c r="W42" s="206"/>
      <c r="X42" s="206"/>
      <c r="Y42" s="206"/>
      <c r="Z42" s="206"/>
      <c r="AB42" s="206"/>
    </row>
    <row r="43" spans="2:27" ht="12.75" customHeight="1">
      <c r="B43" s="136" t="s">
        <v>197</v>
      </c>
      <c r="C43" s="335"/>
      <c r="D43" s="336"/>
      <c r="E43" s="337"/>
      <c r="F43" s="337"/>
      <c r="G43" s="337"/>
      <c r="H43" s="338"/>
      <c r="I43" s="337"/>
      <c r="J43" s="336"/>
      <c r="K43" s="338"/>
      <c r="L43" s="337"/>
      <c r="M43" s="337"/>
      <c r="N43" s="336"/>
      <c r="O43" s="336"/>
      <c r="P43" s="337"/>
      <c r="Q43" s="337"/>
      <c r="R43" s="339"/>
      <c r="S43" s="339"/>
      <c r="T43" s="339"/>
      <c r="U43" s="339"/>
      <c r="V43" s="339"/>
      <c r="W43" s="339"/>
      <c r="X43" s="339"/>
      <c r="Y43" s="339"/>
      <c r="Z43" s="339"/>
      <c r="AA43" s="255"/>
    </row>
    <row r="44" ht="12.75" customHeight="1">
      <c r="B44" s="268" t="s">
        <v>203</v>
      </c>
    </row>
    <row r="45" ht="12.75" customHeight="1">
      <c r="B45" s="340" t="s">
        <v>204</v>
      </c>
    </row>
    <row r="46" ht="12.75" customHeight="1">
      <c r="B46" s="341" t="s">
        <v>205</v>
      </c>
    </row>
    <row r="47" ht="12.75" customHeight="1">
      <c r="C47" s="341" t="s">
        <v>206</v>
      </c>
    </row>
    <row r="48" spans="11:23" ht="12.75">
      <c r="K48" s="342"/>
      <c r="L48" s="343"/>
      <c r="M48" s="342"/>
      <c r="N48" s="343"/>
      <c r="O48" s="342"/>
      <c r="P48" s="343"/>
      <c r="Q48" s="342"/>
      <c r="R48" s="343"/>
      <c r="S48" s="342"/>
      <c r="T48" s="343"/>
      <c r="U48" s="342"/>
      <c r="V48" s="343"/>
      <c r="W48" s="342"/>
    </row>
    <row r="49" spans="7:27" ht="11.25">
      <c r="G49" s="344"/>
      <c r="J49" s="344"/>
      <c r="K49" s="344"/>
      <c r="L49" s="344"/>
      <c r="M49" s="344"/>
      <c r="N49" s="344"/>
      <c r="O49" s="344"/>
      <c r="P49" s="344"/>
      <c r="Q49" s="344"/>
      <c r="R49" s="344"/>
      <c r="S49" s="344"/>
      <c r="T49" s="344"/>
      <c r="U49" s="344"/>
      <c r="V49" s="344"/>
      <c r="W49" s="345"/>
      <c r="X49" s="345"/>
      <c r="Y49" s="345"/>
      <c r="Z49" s="345"/>
      <c r="AA49" s="345"/>
    </row>
  </sheetData>
  <sheetProtection/>
  <mergeCells count="1">
    <mergeCell ref="B2:AB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AC52"/>
  <sheetViews>
    <sheetView zoomScalePageLayoutView="0" workbookViewId="0" topLeftCell="A10">
      <selection activeCell="Z35" sqref="Z35"/>
    </sheetView>
  </sheetViews>
  <sheetFormatPr defaultColWidth="9.140625" defaultRowHeight="12.75"/>
  <cols>
    <col min="1" max="1" width="2.7109375" style="101" customWidth="1"/>
    <col min="2" max="2" width="4.28125" style="101" customWidth="1"/>
    <col min="3" max="20" width="6.7109375" style="101" customWidth="1"/>
    <col min="21" max="26" width="7.28125" style="101" customWidth="1"/>
    <col min="27" max="27" width="6.28125" style="101" customWidth="1"/>
    <col min="28" max="28" width="4.00390625" style="101" customWidth="1"/>
    <col min="30" max="16384" width="9.140625" style="101" customWidth="1"/>
  </cols>
  <sheetData>
    <row r="1" spans="2:28" ht="14.25" customHeight="1">
      <c r="B1" s="263"/>
      <c r="C1" s="264"/>
      <c r="D1" s="264"/>
      <c r="E1" s="264"/>
      <c r="F1" s="264"/>
      <c r="G1" s="264"/>
      <c r="H1" s="264"/>
      <c r="I1" s="264"/>
      <c r="J1" s="264"/>
      <c r="K1" s="264"/>
      <c r="L1" s="264"/>
      <c r="M1" s="264"/>
      <c r="N1" s="264"/>
      <c r="O1" s="264"/>
      <c r="P1" s="264"/>
      <c r="Q1" s="102"/>
      <c r="T1" s="102"/>
      <c r="U1" s="102"/>
      <c r="V1" s="102"/>
      <c r="W1" s="102"/>
      <c r="X1" s="102"/>
      <c r="Y1" s="102"/>
      <c r="Z1" s="102"/>
      <c r="AB1" s="102" t="s">
        <v>207</v>
      </c>
    </row>
    <row r="2" spans="2:29" s="268" customFormat="1" ht="30" customHeight="1">
      <c r="B2" s="1083" t="s">
        <v>208</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row>
    <row r="3" spans="3:28" ht="10.5" customHeight="1">
      <c r="C3" s="269"/>
      <c r="D3" s="269"/>
      <c r="E3" s="269"/>
      <c r="F3" s="269"/>
      <c r="G3" s="269"/>
      <c r="H3" s="269"/>
      <c r="I3" s="269"/>
      <c r="J3" s="269"/>
      <c r="K3" s="269"/>
      <c r="L3" s="269"/>
      <c r="M3" s="269"/>
      <c r="N3" s="269"/>
      <c r="O3" s="269"/>
      <c r="P3" s="269"/>
      <c r="Q3" s="269"/>
      <c r="R3" s="269"/>
      <c r="X3" s="269" t="s">
        <v>201</v>
      </c>
      <c r="Y3" s="269"/>
      <c r="Z3" s="269"/>
      <c r="AA3" s="270"/>
      <c r="AB3" s="269"/>
    </row>
    <row r="4" spans="2:28"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41" t="s">
        <v>159</v>
      </c>
      <c r="AB4" s="346"/>
    </row>
    <row r="5" spans="2:28" ht="9.75" customHeight="1">
      <c r="B5" s="103"/>
      <c r="C5" s="347"/>
      <c r="D5" s="347"/>
      <c r="E5" s="271"/>
      <c r="F5" s="271"/>
      <c r="G5" s="271"/>
      <c r="H5" s="271"/>
      <c r="I5" s="271"/>
      <c r="J5" s="271"/>
      <c r="K5" s="271"/>
      <c r="L5" s="271"/>
      <c r="M5" s="271"/>
      <c r="N5" s="271"/>
      <c r="O5" s="271"/>
      <c r="P5" s="271"/>
      <c r="Q5" s="271"/>
      <c r="R5" s="271"/>
      <c r="S5" s="271"/>
      <c r="T5" s="271"/>
      <c r="U5" s="271"/>
      <c r="V5" s="271"/>
      <c r="W5" s="271"/>
      <c r="X5" s="271"/>
      <c r="Y5" s="271"/>
      <c r="Z5" s="271"/>
      <c r="AA5" s="348" t="s">
        <v>160</v>
      </c>
      <c r="AB5" s="346"/>
    </row>
    <row r="6" spans="2:28" ht="12.75" customHeight="1">
      <c r="B6" s="148" t="s">
        <v>161</v>
      </c>
      <c r="C6" s="349" t="s">
        <v>100</v>
      </c>
      <c r="D6" s="349" t="s">
        <v>100</v>
      </c>
      <c r="E6" s="350" t="s">
        <v>100</v>
      </c>
      <c r="F6" s="350" t="s">
        <v>100</v>
      </c>
      <c r="G6" s="350" t="s">
        <v>100</v>
      </c>
      <c r="H6" s="350" t="s">
        <v>100</v>
      </c>
      <c r="I6" s="350" t="s">
        <v>100</v>
      </c>
      <c r="J6" s="224">
        <f aca="true" t="shared" si="0" ref="J6:T6">SUM(J9:J35)</f>
        <v>499.4581870616833</v>
      </c>
      <c r="K6" s="224">
        <f t="shared" si="0"/>
        <v>503.7194417168672</v>
      </c>
      <c r="L6" s="224">
        <f t="shared" si="0"/>
        <v>504.4289631707532</v>
      </c>
      <c r="M6" s="224">
        <f t="shared" si="0"/>
        <v>511.9431248704575</v>
      </c>
      <c r="N6" s="224">
        <f t="shared" si="0"/>
        <v>514.4179277197597</v>
      </c>
      <c r="O6" s="224">
        <f t="shared" si="0"/>
        <v>517.1451485979774</v>
      </c>
      <c r="P6" s="224">
        <f t="shared" si="0"/>
        <v>519.0216211554887</v>
      </c>
      <c r="Q6" s="224">
        <f t="shared" si="0"/>
        <v>517.8028347462746</v>
      </c>
      <c r="R6" s="224">
        <f t="shared" si="0"/>
        <v>518.8997821257724</v>
      </c>
      <c r="S6" s="224">
        <f t="shared" si="0"/>
        <v>522.2619172818136</v>
      </c>
      <c r="T6" s="224">
        <f t="shared" si="0"/>
        <v>523.4322290044865</v>
      </c>
      <c r="U6" s="224">
        <f aca="true" t="shared" si="1" ref="U6:Z6">SUM(U9:U35)</f>
        <v>518.7796811632905</v>
      </c>
      <c r="V6" s="224">
        <f t="shared" si="1"/>
        <v>532.9907937301335</v>
      </c>
      <c r="W6" s="224">
        <f t="shared" si="1"/>
        <v>534.6141697296505</v>
      </c>
      <c r="X6" s="224">
        <f t="shared" si="1"/>
        <v>515.0703430937174</v>
      </c>
      <c r="Y6" s="224">
        <f t="shared" si="1"/>
        <v>509.42694424878005</v>
      </c>
      <c r="Z6" s="224">
        <f t="shared" si="1"/>
        <v>512.1888090500591</v>
      </c>
      <c r="AA6" s="276">
        <f>Z6/Y6*100-100</f>
        <v>0.5421513000950284</v>
      </c>
      <c r="AB6" s="148" t="s">
        <v>161</v>
      </c>
    </row>
    <row r="7" spans="1:28" ht="12.75" customHeight="1">
      <c r="A7" s="120"/>
      <c r="B7" s="154" t="s">
        <v>162</v>
      </c>
      <c r="C7" s="351">
        <f>SUM(C9,C12:C13,C15,C16:C19,C23,C26:C27,C29,C33:C35)</f>
        <v>272.649</v>
      </c>
      <c r="D7" s="351">
        <f aca="true" t="shared" si="2" ref="D7:Z7">SUM(D9,D12:D13,D15,D16:D19,D23,D26:D27,D29,D33:D35)</f>
        <v>351.629</v>
      </c>
      <c r="E7" s="227">
        <f t="shared" si="2"/>
        <v>368.0923840954933</v>
      </c>
      <c r="F7" s="227">
        <f t="shared" si="2"/>
        <v>369.1893811289022</v>
      </c>
      <c r="G7" s="227">
        <f t="shared" si="2"/>
        <v>369.634715723156</v>
      </c>
      <c r="H7" s="227">
        <f t="shared" si="2"/>
        <v>369.7046077805056</v>
      </c>
      <c r="I7" s="227">
        <f t="shared" si="2"/>
        <v>369.6326003048493</v>
      </c>
      <c r="J7" s="227">
        <f t="shared" si="2"/>
        <v>378.3036870616833</v>
      </c>
      <c r="K7" s="227">
        <f t="shared" si="2"/>
        <v>385.6109417168672</v>
      </c>
      <c r="L7" s="227">
        <f t="shared" si="2"/>
        <v>387.17716317075315</v>
      </c>
      <c r="M7" s="227">
        <f t="shared" si="2"/>
        <v>394.6210248704575</v>
      </c>
      <c r="N7" s="227">
        <f t="shared" si="2"/>
        <v>396.4051277197598</v>
      </c>
      <c r="O7" s="227">
        <f t="shared" si="2"/>
        <v>401.78738509797745</v>
      </c>
      <c r="P7" s="227">
        <f t="shared" si="2"/>
        <v>403.55868393548855</v>
      </c>
      <c r="Q7" s="227">
        <f t="shared" si="2"/>
        <v>402.62254637627456</v>
      </c>
      <c r="R7" s="227">
        <f t="shared" si="2"/>
        <v>406.0479877257723</v>
      </c>
      <c r="S7" s="227">
        <f t="shared" si="2"/>
        <v>411.6931540518136</v>
      </c>
      <c r="T7" s="227">
        <f t="shared" si="2"/>
        <v>412.5175465444866</v>
      </c>
      <c r="U7" s="227">
        <f t="shared" si="2"/>
        <v>409.05600716329053</v>
      </c>
      <c r="V7" s="227">
        <f t="shared" si="2"/>
        <v>424.00573173013356</v>
      </c>
      <c r="W7" s="227">
        <f t="shared" si="2"/>
        <v>425.5173541296505</v>
      </c>
      <c r="X7" s="227">
        <f t="shared" si="2"/>
        <v>417.93007229930686</v>
      </c>
      <c r="Y7" s="227">
        <f t="shared" si="2"/>
        <v>414.38828734877995</v>
      </c>
      <c r="Z7" s="227">
        <f t="shared" si="2"/>
        <v>419.312066289392</v>
      </c>
      <c r="AA7" s="281">
        <f aca="true" t="shared" si="3" ref="AA7:AA41">Z7/Y7*100-100</f>
        <v>1.1882041773221914</v>
      </c>
      <c r="AB7" s="154" t="s">
        <v>162</v>
      </c>
    </row>
    <row r="8" spans="1:28" ht="12.75" customHeight="1">
      <c r="A8" s="120"/>
      <c r="B8" s="156" t="s">
        <v>163</v>
      </c>
      <c r="C8" s="352"/>
      <c r="D8" s="352"/>
      <c r="E8" s="230"/>
      <c r="F8" s="353"/>
      <c r="G8" s="353"/>
      <c r="H8" s="353"/>
      <c r="I8" s="353"/>
      <c r="J8" s="230">
        <f>J6-J7</f>
        <v>121.15449999999998</v>
      </c>
      <c r="K8" s="230">
        <f aca="true" t="shared" si="4" ref="K8:Z8">K6-K7</f>
        <v>118.10849999999999</v>
      </c>
      <c r="L8" s="230">
        <f t="shared" si="4"/>
        <v>117.25180000000006</v>
      </c>
      <c r="M8" s="230">
        <f t="shared" si="4"/>
        <v>117.32209999999998</v>
      </c>
      <c r="N8" s="230">
        <f t="shared" si="4"/>
        <v>118.01279999999997</v>
      </c>
      <c r="O8" s="230">
        <f t="shared" si="4"/>
        <v>115.35776349999992</v>
      </c>
      <c r="P8" s="230">
        <f t="shared" si="4"/>
        <v>115.46293722000013</v>
      </c>
      <c r="Q8" s="230">
        <f t="shared" si="4"/>
        <v>115.18028837000003</v>
      </c>
      <c r="R8" s="230">
        <f t="shared" si="4"/>
        <v>112.85179440000007</v>
      </c>
      <c r="S8" s="230">
        <f t="shared" si="4"/>
        <v>110.56876322999994</v>
      </c>
      <c r="T8" s="230">
        <f t="shared" si="4"/>
        <v>110.91468245999994</v>
      </c>
      <c r="U8" s="230">
        <f t="shared" si="4"/>
        <v>109.72367400000002</v>
      </c>
      <c r="V8" s="230">
        <f t="shared" si="4"/>
        <v>108.98506199999997</v>
      </c>
      <c r="W8" s="230">
        <f t="shared" si="4"/>
        <v>109.09681559999996</v>
      </c>
      <c r="X8" s="230">
        <f t="shared" si="4"/>
        <v>97.14027079441053</v>
      </c>
      <c r="Y8" s="230">
        <f t="shared" si="4"/>
        <v>95.03865690000009</v>
      </c>
      <c r="Z8" s="230">
        <f t="shared" si="4"/>
        <v>92.87674276066713</v>
      </c>
      <c r="AA8" s="285">
        <f t="shared" si="3"/>
        <v>-2.2747734551928005</v>
      </c>
      <c r="AB8" s="156" t="s">
        <v>163</v>
      </c>
    </row>
    <row r="9" spans="1:29" s="214" customFormat="1" ht="12.75" customHeight="1">
      <c r="A9" s="290"/>
      <c r="B9" s="107" t="s">
        <v>61</v>
      </c>
      <c r="C9" s="286">
        <v>12.153</v>
      </c>
      <c r="D9" s="286">
        <v>14.422</v>
      </c>
      <c r="E9" s="236">
        <v>11.371379813302717</v>
      </c>
      <c r="F9" s="236">
        <v>11.928856672785459</v>
      </c>
      <c r="G9" s="236">
        <v>12.208590988011615</v>
      </c>
      <c r="H9" s="236">
        <v>12.449307712355173</v>
      </c>
      <c r="I9" s="236">
        <v>12.920557778575041</v>
      </c>
      <c r="J9" s="236">
        <v>13.1163927490109</v>
      </c>
      <c r="K9" s="236">
        <v>13.048036161999931</v>
      </c>
      <c r="L9" s="240">
        <v>13.062294037072977</v>
      </c>
      <c r="M9" s="240">
        <v>13.264206083397962</v>
      </c>
      <c r="N9" s="233">
        <v>13.441653719101833</v>
      </c>
      <c r="O9" s="240">
        <v>13.298261168538518</v>
      </c>
      <c r="P9" s="240">
        <v>13.785338279369089</v>
      </c>
      <c r="Q9" s="240">
        <v>14.959423828844177</v>
      </c>
      <c r="R9" s="240">
        <v>16.483572017775955</v>
      </c>
      <c r="S9" s="240">
        <v>17.1429920041393</v>
      </c>
      <c r="T9" s="240">
        <v>17.51504805548251</v>
      </c>
      <c r="U9" s="240">
        <v>18.078005341336816</v>
      </c>
      <c r="V9" s="240">
        <v>18.729636998103302</v>
      </c>
      <c r="W9" s="240">
        <v>18.352174912910026</v>
      </c>
      <c r="X9" s="240">
        <v>18.670838372062967</v>
      </c>
      <c r="Y9" s="233">
        <v>18.93</v>
      </c>
      <c r="Z9" s="233">
        <v>18.969919592400387</v>
      </c>
      <c r="AA9" s="287">
        <f t="shared" si="3"/>
        <v>0.21088004437605434</v>
      </c>
      <c r="AB9" s="107" t="s">
        <v>61</v>
      </c>
      <c r="AC9" s="135"/>
    </row>
    <row r="10" spans="1:29" ht="12.75" customHeight="1">
      <c r="A10" s="120"/>
      <c r="B10" s="154" t="s">
        <v>102</v>
      </c>
      <c r="C10" s="288">
        <v>12.235</v>
      </c>
      <c r="D10" s="288">
        <v>21.614</v>
      </c>
      <c r="E10" s="235">
        <v>25.955</v>
      </c>
      <c r="F10" s="235">
        <v>19.026</v>
      </c>
      <c r="G10" s="235">
        <v>16.957</v>
      </c>
      <c r="H10" s="235">
        <v>14.062</v>
      </c>
      <c r="I10" s="235">
        <v>12.817</v>
      </c>
      <c r="J10" s="237">
        <v>11.566</v>
      </c>
      <c r="K10" s="237">
        <v>10.577</v>
      </c>
      <c r="L10" s="237">
        <v>11.863</v>
      </c>
      <c r="M10" s="237">
        <v>12.764</v>
      </c>
      <c r="N10" s="237">
        <v>14.741</v>
      </c>
      <c r="O10" s="237">
        <v>14.587</v>
      </c>
      <c r="P10" s="237">
        <v>14.963</v>
      </c>
      <c r="Q10" s="237">
        <v>16.985</v>
      </c>
      <c r="R10" s="237">
        <v>14.4</v>
      </c>
      <c r="S10" s="237">
        <v>13.029</v>
      </c>
      <c r="T10" s="235">
        <v>13.688</v>
      </c>
      <c r="U10" s="235">
        <v>12.942</v>
      </c>
      <c r="V10" s="235">
        <v>13.571</v>
      </c>
      <c r="W10" s="235">
        <v>13.839</v>
      </c>
      <c r="X10" s="235">
        <v>10.451</v>
      </c>
      <c r="Y10" s="235">
        <v>10.613</v>
      </c>
      <c r="Z10" s="235">
        <v>10.843</v>
      </c>
      <c r="AA10" s="303">
        <f t="shared" si="3"/>
        <v>2.1671534910015993</v>
      </c>
      <c r="AB10" s="154" t="s">
        <v>102</v>
      </c>
      <c r="AC10" s="270"/>
    </row>
    <row r="11" spans="1:29" s="214" customFormat="1" ht="12.75" customHeight="1">
      <c r="A11" s="290"/>
      <c r="B11" s="107" t="s">
        <v>62</v>
      </c>
      <c r="C11" s="354"/>
      <c r="D11" s="354"/>
      <c r="E11" s="355"/>
      <c r="F11" s="236" t="s">
        <v>100</v>
      </c>
      <c r="G11" s="236" t="s">
        <v>100</v>
      </c>
      <c r="H11" s="236">
        <v>13.617</v>
      </c>
      <c r="I11" s="356">
        <v>11.523</v>
      </c>
      <c r="J11" s="236">
        <f>11.7632+1.1693+5.668</f>
        <v>18.6005</v>
      </c>
      <c r="K11" s="236">
        <f>9.7292+1.2833+5.59</f>
        <v>16.6025</v>
      </c>
      <c r="L11" s="236">
        <f>8.804+1.2948+5.512</f>
        <v>15.610800000000001</v>
      </c>
      <c r="M11" s="236">
        <f>8.6809+1.234+5.4582</f>
        <v>15.373099999999999</v>
      </c>
      <c r="N11" s="356">
        <f>8.649+1.2615+5.5333</f>
        <v>15.4438</v>
      </c>
      <c r="O11" s="236">
        <f>9.3513+1.221+5.599</f>
        <v>16.171300000000002</v>
      </c>
      <c r="P11" s="236">
        <f>10.6081+1.2103+5.7009</f>
        <v>17.5193</v>
      </c>
      <c r="Q11" s="236">
        <f>9.6675+1.1339+5.7291</f>
        <v>16.5305</v>
      </c>
      <c r="R11" s="236">
        <f>9.4486+1.1103+5.8659</f>
        <v>16.4248</v>
      </c>
      <c r="S11" s="236">
        <f>8.5162+1.1043+5.5975</f>
        <v>15.218</v>
      </c>
      <c r="T11" s="236">
        <f>8.6073+7.0006</f>
        <v>15.6079</v>
      </c>
      <c r="U11" s="236">
        <f>9.5012+6.5139</f>
        <v>16.0151</v>
      </c>
      <c r="V11" s="236">
        <f>9.5188+6.6021</f>
        <v>16.1209</v>
      </c>
      <c r="W11" s="236">
        <f>9.3691+6.7378</f>
        <v>16.1069</v>
      </c>
      <c r="X11" s="236">
        <v>16.062</v>
      </c>
      <c r="Y11" s="236">
        <f>10.8156+1.0618+5.5581</f>
        <v>17.435499999999998</v>
      </c>
      <c r="Z11" s="236">
        <f>1.018+5.548+9.267</f>
        <v>15.832999999999998</v>
      </c>
      <c r="AA11" s="294">
        <f t="shared" si="3"/>
        <v>-9.191018324682403</v>
      </c>
      <c r="AB11" s="107" t="s">
        <v>62</v>
      </c>
      <c r="AC11"/>
    </row>
    <row r="12" spans="1:28" ht="12.75" customHeight="1">
      <c r="A12" s="120"/>
      <c r="B12" s="154" t="s">
        <v>14</v>
      </c>
      <c r="C12" s="288">
        <v>3.898</v>
      </c>
      <c r="D12" s="288">
        <v>4.611</v>
      </c>
      <c r="E12" s="235">
        <v>6.443</v>
      </c>
      <c r="F12" s="235">
        <v>6.394</v>
      </c>
      <c r="G12" s="235">
        <v>6.421</v>
      </c>
      <c r="H12" s="235">
        <v>6.601</v>
      </c>
      <c r="I12" s="235">
        <v>6.745</v>
      </c>
      <c r="J12" s="235">
        <v>7.284</v>
      </c>
      <c r="K12" s="235">
        <v>7.717</v>
      </c>
      <c r="L12" s="235">
        <v>7.596</v>
      </c>
      <c r="M12" s="235">
        <v>7.543</v>
      </c>
      <c r="N12" s="235">
        <v>7.397</v>
      </c>
      <c r="O12" s="235">
        <v>7.418</v>
      </c>
      <c r="P12" s="235">
        <v>7.327</v>
      </c>
      <c r="Q12" s="235">
        <v>7.292</v>
      </c>
      <c r="R12" s="235">
        <v>7.267</v>
      </c>
      <c r="S12" s="235">
        <v>7.3</v>
      </c>
      <c r="T12" s="235">
        <v>7.169</v>
      </c>
      <c r="U12" s="235">
        <v>7.054</v>
      </c>
      <c r="V12" s="235">
        <v>6.857</v>
      </c>
      <c r="W12" s="235">
        <v>6.782</v>
      </c>
      <c r="X12" s="235">
        <v>6.781</v>
      </c>
      <c r="Y12" s="235">
        <v>6.884</v>
      </c>
      <c r="Z12" s="235">
        <v>6.804</v>
      </c>
      <c r="AA12" s="295">
        <f t="shared" si="3"/>
        <v>-1.1621150493898824</v>
      </c>
      <c r="AB12" s="154" t="s">
        <v>14</v>
      </c>
    </row>
    <row r="13" spans="1:29" s="214" customFormat="1" ht="12.75" customHeight="1">
      <c r="A13" s="290"/>
      <c r="B13" s="107" t="s">
        <v>64</v>
      </c>
      <c r="C13" s="357">
        <v>67.7</v>
      </c>
      <c r="D13" s="358">
        <v>90</v>
      </c>
      <c r="E13" s="236">
        <v>73.1</v>
      </c>
      <c r="F13" s="236">
        <v>70.3</v>
      </c>
      <c r="G13" s="236">
        <v>69.9</v>
      </c>
      <c r="H13" s="236">
        <v>70.2</v>
      </c>
      <c r="I13" s="236">
        <v>68.6</v>
      </c>
      <c r="J13" s="236">
        <v>68.5</v>
      </c>
      <c r="K13" s="236">
        <v>68.3</v>
      </c>
      <c r="L13" s="236">
        <v>68</v>
      </c>
      <c r="M13" s="236">
        <v>68.2</v>
      </c>
      <c r="N13" s="236">
        <v>68</v>
      </c>
      <c r="O13" s="236">
        <v>69</v>
      </c>
      <c r="P13" s="236">
        <v>68.7</v>
      </c>
      <c r="Q13" s="236">
        <v>67.5</v>
      </c>
      <c r="R13" s="236">
        <v>67.5</v>
      </c>
      <c r="S13" s="236">
        <f>40.359+27.447</f>
        <v>67.806</v>
      </c>
      <c r="T13" s="236">
        <f>40.365+26.697</f>
        <v>67.062</v>
      </c>
      <c r="U13" s="236">
        <f>38.542+1.495+26.147</f>
        <v>66.184</v>
      </c>
      <c r="V13" s="236">
        <f>40.141+25.246</f>
        <v>65.387</v>
      </c>
      <c r="W13" s="236">
        <f>39.479+24.113</f>
        <v>63.592</v>
      </c>
      <c r="X13" s="236">
        <v>62.097</v>
      </c>
      <c r="Y13" s="236">
        <v>61.767</v>
      </c>
      <c r="Z13" s="236">
        <v>61.1</v>
      </c>
      <c r="AA13" s="316">
        <f t="shared" si="3"/>
        <v>-1.0798646526462363</v>
      </c>
      <c r="AB13" s="107" t="s">
        <v>64</v>
      </c>
      <c r="AC13" s="135"/>
    </row>
    <row r="14" spans="1:28" ht="12.75" customHeight="1">
      <c r="A14" s="120"/>
      <c r="B14" s="154" t="s">
        <v>65</v>
      </c>
      <c r="C14" s="288">
        <v>2.61</v>
      </c>
      <c r="D14" s="288">
        <v>3.66</v>
      </c>
      <c r="E14" s="235">
        <v>4.45</v>
      </c>
      <c r="F14" s="235">
        <v>3.83</v>
      </c>
      <c r="G14" s="235">
        <v>2.97</v>
      </c>
      <c r="H14" s="235">
        <v>2.54</v>
      </c>
      <c r="I14" s="235">
        <v>2.35</v>
      </c>
      <c r="J14" s="235">
        <v>2.048</v>
      </c>
      <c r="K14" s="235">
        <v>2.091</v>
      </c>
      <c r="L14" s="235">
        <v>2.238</v>
      </c>
      <c r="M14" s="235">
        <v>2.265</v>
      </c>
      <c r="N14" s="235">
        <v>2.223</v>
      </c>
      <c r="O14" s="235">
        <v>2.63</v>
      </c>
      <c r="P14" s="235">
        <v>2.461</v>
      </c>
      <c r="Q14" s="235">
        <v>2.33</v>
      </c>
      <c r="R14" s="235">
        <v>2.297</v>
      </c>
      <c r="S14" s="235">
        <v>2.469</v>
      </c>
      <c r="T14" s="235">
        <v>2.716</v>
      </c>
      <c r="U14" s="235">
        <v>2.881</v>
      </c>
      <c r="V14" s="235">
        <v>2.677</v>
      </c>
      <c r="W14" s="235">
        <v>2.453</v>
      </c>
      <c r="X14" s="235">
        <v>2.114</v>
      </c>
      <c r="Y14" s="235">
        <f>2.061</f>
        <v>2.061</v>
      </c>
      <c r="Z14" s="235">
        <v>2.0706943</v>
      </c>
      <c r="AA14" s="303">
        <f t="shared" si="3"/>
        <v>0.4703687530325027</v>
      </c>
      <c r="AB14" s="154" t="s">
        <v>65</v>
      </c>
    </row>
    <row r="15" spans="1:28" ht="12.75" customHeight="1">
      <c r="A15" s="120"/>
      <c r="B15" s="107" t="s">
        <v>69</v>
      </c>
      <c r="C15" s="286">
        <v>3.3</v>
      </c>
      <c r="D15" s="286">
        <v>4.5</v>
      </c>
      <c r="E15" s="240">
        <v>3.86</v>
      </c>
      <c r="F15" s="240">
        <v>4.1</v>
      </c>
      <c r="G15" s="240">
        <v>4.3</v>
      </c>
      <c r="H15" s="240">
        <v>4.49</v>
      </c>
      <c r="I15" s="240">
        <v>5</v>
      </c>
      <c r="J15" s="240">
        <v>5.15</v>
      </c>
      <c r="K15" s="240">
        <v>5.3</v>
      </c>
      <c r="L15" s="233">
        <v>5.5</v>
      </c>
      <c r="M15" s="233">
        <v>5.7</v>
      </c>
      <c r="N15" s="233">
        <v>5.9</v>
      </c>
      <c r="O15" s="233">
        <v>6.11</v>
      </c>
      <c r="P15" s="233">
        <v>6.26</v>
      </c>
      <c r="Q15" s="233">
        <v>6.35</v>
      </c>
      <c r="R15" s="233">
        <v>6.5</v>
      </c>
      <c r="S15" s="233">
        <v>6.55</v>
      </c>
      <c r="T15" s="233">
        <v>6.7</v>
      </c>
      <c r="U15" s="233">
        <v>6.9</v>
      </c>
      <c r="V15" s="233">
        <v>7.3</v>
      </c>
      <c r="W15" s="233">
        <v>7.5</v>
      </c>
      <c r="X15" s="233">
        <v>7.113069156726579</v>
      </c>
      <c r="Y15" s="233">
        <v>6.89</v>
      </c>
      <c r="Z15" s="233">
        <v>6.984728276323882</v>
      </c>
      <c r="AA15" s="299">
        <f t="shared" si="3"/>
        <v>1.374866129519333</v>
      </c>
      <c r="AB15" s="107" t="s">
        <v>69</v>
      </c>
    </row>
    <row r="16" spans="1:28" ht="12.75" customHeight="1">
      <c r="A16" s="120"/>
      <c r="B16" s="154" t="s">
        <v>15</v>
      </c>
      <c r="C16" s="288">
        <v>9.425</v>
      </c>
      <c r="D16" s="288">
        <v>15.621</v>
      </c>
      <c r="E16" s="235">
        <v>17.718</v>
      </c>
      <c r="F16" s="235">
        <v>17.968</v>
      </c>
      <c r="G16" s="235">
        <v>18.549</v>
      </c>
      <c r="H16" s="235">
        <v>18.922</v>
      </c>
      <c r="I16" s="235">
        <v>19.578</v>
      </c>
      <c r="J16" s="235">
        <v>20.221</v>
      </c>
      <c r="K16" s="235">
        <v>20.449</v>
      </c>
      <c r="L16" s="235">
        <v>20.695</v>
      </c>
      <c r="M16" s="235">
        <v>21.2</v>
      </c>
      <c r="N16" s="235">
        <v>21.5</v>
      </c>
      <c r="O16" s="235">
        <v>21.7</v>
      </c>
      <c r="P16" s="234">
        <v>21.8</v>
      </c>
      <c r="Q16" s="234">
        <v>22</v>
      </c>
      <c r="R16" s="234">
        <v>21.95</v>
      </c>
      <c r="S16" s="234">
        <v>21.6</v>
      </c>
      <c r="T16" s="234">
        <v>21.7</v>
      </c>
      <c r="U16" s="234">
        <v>21.8</v>
      </c>
      <c r="V16" s="234">
        <v>22</v>
      </c>
      <c r="W16" s="234">
        <v>22.1</v>
      </c>
      <c r="X16" s="234">
        <v>20.919043007800454</v>
      </c>
      <c r="Y16" s="234">
        <v>21.1</v>
      </c>
      <c r="Z16" s="234">
        <v>21.161722909489495</v>
      </c>
      <c r="AA16" s="289">
        <f t="shared" si="3"/>
        <v>0.29252563739096615</v>
      </c>
      <c r="AB16" s="154" t="s">
        <v>15</v>
      </c>
    </row>
    <row r="17" spans="1:28" ht="12.75" customHeight="1">
      <c r="A17" s="120"/>
      <c r="B17" s="107" t="s">
        <v>67</v>
      </c>
      <c r="C17" s="286">
        <v>20.911</v>
      </c>
      <c r="D17" s="286">
        <v>28.099</v>
      </c>
      <c r="E17" s="240">
        <v>33.36</v>
      </c>
      <c r="F17" s="240">
        <v>35.45</v>
      </c>
      <c r="G17" s="240">
        <v>35.52</v>
      </c>
      <c r="H17" s="240">
        <v>37.09</v>
      </c>
      <c r="I17" s="240">
        <v>38.13</v>
      </c>
      <c r="J17" s="240">
        <v>39.6</v>
      </c>
      <c r="K17" s="233">
        <v>44</v>
      </c>
      <c r="L17" s="240">
        <v>43.97</v>
      </c>
      <c r="M17" s="240">
        <v>49.4</v>
      </c>
      <c r="N17" s="240">
        <v>50</v>
      </c>
      <c r="O17" s="240">
        <v>50.278</v>
      </c>
      <c r="P17" s="240">
        <v>51.712</v>
      </c>
      <c r="Q17" s="240">
        <v>50.053</v>
      </c>
      <c r="R17" s="240">
        <v>49.209</v>
      </c>
      <c r="S17" s="240">
        <v>53.458</v>
      </c>
      <c r="T17" s="240">
        <v>53.176</v>
      </c>
      <c r="U17" s="240">
        <v>49.369</v>
      </c>
      <c r="V17" s="240">
        <v>59.163</v>
      </c>
      <c r="W17" s="240">
        <v>60.864</v>
      </c>
      <c r="X17" s="240">
        <v>57.043</v>
      </c>
      <c r="Y17" s="240">
        <v>50.902</v>
      </c>
      <c r="Z17" s="240">
        <v>55.742</v>
      </c>
      <c r="AA17" s="302">
        <f t="shared" si="3"/>
        <v>9.508467250795633</v>
      </c>
      <c r="AB17" s="107" t="s">
        <v>67</v>
      </c>
    </row>
    <row r="18" spans="1:28" ht="12.75" customHeight="1">
      <c r="A18" s="120"/>
      <c r="B18" s="154" t="s">
        <v>68</v>
      </c>
      <c r="C18" s="288">
        <v>25.2</v>
      </c>
      <c r="D18" s="288">
        <v>38</v>
      </c>
      <c r="E18" s="235">
        <v>40.672438885832804</v>
      </c>
      <c r="F18" s="235">
        <v>42.46365327657648</v>
      </c>
      <c r="G18" s="235">
        <v>41.43754539389654</v>
      </c>
      <c r="H18" s="235">
        <v>41.68009359438458</v>
      </c>
      <c r="I18" s="235">
        <v>42.3386857962075</v>
      </c>
      <c r="J18" s="235">
        <v>41.242111324326515</v>
      </c>
      <c r="K18" s="235">
        <v>42.34602391239841</v>
      </c>
      <c r="L18" s="235">
        <v>41.899650884321886</v>
      </c>
      <c r="M18" s="235">
        <v>41.88029742683076</v>
      </c>
      <c r="N18" s="235">
        <v>40.90472337482045</v>
      </c>
      <c r="O18" s="235">
        <v>41.99660729789731</v>
      </c>
      <c r="P18" s="235">
        <v>40.594657377293245</v>
      </c>
      <c r="Q18" s="235">
        <v>41.114191704754546</v>
      </c>
      <c r="R18" s="235">
        <v>41.542840944382874</v>
      </c>
      <c r="S18" s="235">
        <v>42.37055794916647</v>
      </c>
      <c r="T18" s="235">
        <v>42.472498489004025</v>
      </c>
      <c r="U18" s="235">
        <v>43.26600182195368</v>
      </c>
      <c r="V18" s="235">
        <v>45.33409473203023</v>
      </c>
      <c r="W18" s="235">
        <v>48.43117921674048</v>
      </c>
      <c r="X18" s="235">
        <v>48.77965710029281</v>
      </c>
      <c r="Y18" s="235">
        <v>49.85328734878</v>
      </c>
      <c r="Z18" s="235">
        <v>51.0696911336898</v>
      </c>
      <c r="AA18" s="303">
        <f t="shared" si="3"/>
        <v>2.439967050517012</v>
      </c>
      <c r="AB18" s="154" t="s">
        <v>68</v>
      </c>
    </row>
    <row r="19" spans="1:29" s="214" customFormat="1" ht="12.75" customHeight="1">
      <c r="A19" s="290"/>
      <c r="B19" s="107" t="s">
        <v>70</v>
      </c>
      <c r="C19" s="357">
        <v>32.004</v>
      </c>
      <c r="D19" s="357">
        <v>57.836</v>
      </c>
      <c r="E19" s="236">
        <v>83.955</v>
      </c>
      <c r="F19" s="236">
        <v>84.69</v>
      </c>
      <c r="G19" s="236">
        <v>84.7</v>
      </c>
      <c r="H19" s="236">
        <v>81.45</v>
      </c>
      <c r="I19" s="236">
        <v>79.28</v>
      </c>
      <c r="J19" s="236">
        <f>76.797+10.35</f>
        <v>87.14699999999999</v>
      </c>
      <c r="K19" s="236">
        <v>88.736</v>
      </c>
      <c r="L19" s="236">
        <v>90</v>
      </c>
      <c r="M19" s="236">
        <v>90.6</v>
      </c>
      <c r="N19" s="236">
        <v>92.153</v>
      </c>
      <c r="O19" s="236">
        <f>82.263+11.158</f>
        <v>93.421</v>
      </c>
      <c r="P19" s="236">
        <v>95.594</v>
      </c>
      <c r="Q19" s="236">
        <f>85.512+11.634</f>
        <v>97.146</v>
      </c>
      <c r="R19" s="236">
        <f>86.816+11.503</f>
        <v>98.319</v>
      </c>
      <c r="S19" s="236">
        <f>88.196+11.564</f>
        <v>99.75999999999999</v>
      </c>
      <c r="T19" s="236">
        <f>89.329+11.625</f>
        <v>100.954</v>
      </c>
      <c r="U19" s="236">
        <f>91.442+11.607</f>
        <v>103.04899999999999</v>
      </c>
      <c r="V19" s="236">
        <f>91.108+11.549</f>
        <v>102.65700000000001</v>
      </c>
      <c r="W19" s="236">
        <f>90.693+11.745</f>
        <v>102.438</v>
      </c>
      <c r="X19" s="236">
        <f>89.797+11.909</f>
        <v>101.706</v>
      </c>
      <c r="Y19" s="236">
        <f>90.136+12.089</f>
        <v>102.225</v>
      </c>
      <c r="Z19" s="236">
        <f>91.24+11.998</f>
        <v>103.238</v>
      </c>
      <c r="AA19" s="294">
        <f t="shared" si="3"/>
        <v>0.9909513328442188</v>
      </c>
      <c r="AB19" s="107" t="s">
        <v>70</v>
      </c>
      <c r="AC19"/>
    </row>
    <row r="20" spans="1:28" ht="12.75" customHeight="1">
      <c r="A20" s="120"/>
      <c r="B20" s="154" t="s">
        <v>72</v>
      </c>
      <c r="C20" s="288" t="s">
        <v>100</v>
      </c>
      <c r="D20" s="288" t="s">
        <v>100</v>
      </c>
      <c r="E20" s="235" t="s">
        <v>100</v>
      </c>
      <c r="F20" s="235" t="s">
        <v>100</v>
      </c>
      <c r="G20" s="235" t="s">
        <v>100</v>
      </c>
      <c r="H20" s="235" t="s">
        <v>100</v>
      </c>
      <c r="I20" s="235" t="s">
        <v>100</v>
      </c>
      <c r="J20" s="234">
        <v>1</v>
      </c>
      <c r="K20" s="234">
        <v>1.04</v>
      </c>
      <c r="L20" s="234">
        <v>1.05</v>
      </c>
      <c r="M20" s="234">
        <v>1.06</v>
      </c>
      <c r="N20" s="234">
        <v>1.08</v>
      </c>
      <c r="O20" s="234">
        <v>1.12</v>
      </c>
      <c r="P20" s="234">
        <v>1.16</v>
      </c>
      <c r="Q20" s="234">
        <v>1.2</v>
      </c>
      <c r="R20" s="234">
        <v>1.28</v>
      </c>
      <c r="S20" s="234">
        <v>1.24</v>
      </c>
      <c r="T20" s="234">
        <v>1.26</v>
      </c>
      <c r="U20" s="234">
        <v>1.28</v>
      </c>
      <c r="V20" s="234">
        <v>1.3</v>
      </c>
      <c r="W20" s="234">
        <v>1.33</v>
      </c>
      <c r="X20" s="234">
        <v>1.2832081221716343</v>
      </c>
      <c r="Y20" s="234">
        <v>1.29</v>
      </c>
      <c r="Z20" s="234">
        <v>1.325042573063031</v>
      </c>
      <c r="AA20" s="289">
        <f t="shared" si="3"/>
        <v>2.716478532017902</v>
      </c>
      <c r="AB20" s="154" t="s">
        <v>72</v>
      </c>
    </row>
    <row r="21" spans="1:29" s="214" customFormat="1" ht="12.75" customHeight="1">
      <c r="A21" s="290"/>
      <c r="B21" s="107" t="s">
        <v>73</v>
      </c>
      <c r="C21" s="357">
        <v>3.28</v>
      </c>
      <c r="D21" s="357">
        <v>4.55</v>
      </c>
      <c r="E21" s="236">
        <v>5.862</v>
      </c>
      <c r="F21" s="356">
        <v>5.331</v>
      </c>
      <c r="G21" s="236">
        <v>2.583</v>
      </c>
      <c r="H21" s="236">
        <v>1.722</v>
      </c>
      <c r="I21" s="236">
        <v>1.795</v>
      </c>
      <c r="J21" s="236">
        <v>1.835</v>
      </c>
      <c r="K21" s="236">
        <v>1.606</v>
      </c>
      <c r="L21" s="236">
        <v>1.72</v>
      </c>
      <c r="M21" s="236">
        <v>1.903</v>
      </c>
      <c r="N21" s="236">
        <v>2.368</v>
      </c>
      <c r="O21" s="236">
        <v>2.348</v>
      </c>
      <c r="P21" s="236">
        <v>2.305</v>
      </c>
      <c r="Q21" s="236">
        <v>2.361</v>
      </c>
      <c r="R21" s="236">
        <v>2.55</v>
      </c>
      <c r="S21" s="236">
        <v>2.655</v>
      </c>
      <c r="T21" s="236">
        <v>2.891</v>
      </c>
      <c r="U21" s="236">
        <v>2.78</v>
      </c>
      <c r="V21" s="236">
        <v>2.644</v>
      </c>
      <c r="W21" s="356">
        <v>2.517</v>
      </c>
      <c r="X21" s="236">
        <v>1.921</v>
      </c>
      <c r="Y21" s="236">
        <f>1.975</f>
        <v>1.975</v>
      </c>
      <c r="Z21" s="236">
        <v>1.981</v>
      </c>
      <c r="AA21" s="316">
        <f t="shared" si="3"/>
        <v>0.303797468354432</v>
      </c>
      <c r="AB21" s="107" t="s">
        <v>73</v>
      </c>
      <c r="AC21"/>
    </row>
    <row r="22" spans="1:28" ht="12.75" customHeight="1">
      <c r="A22" s="120"/>
      <c r="B22" s="154" t="s">
        <v>74</v>
      </c>
      <c r="C22" s="288" t="s">
        <v>100</v>
      </c>
      <c r="D22" s="288" t="s">
        <v>100</v>
      </c>
      <c r="E22" s="235">
        <v>7.889</v>
      </c>
      <c r="F22" s="235">
        <v>7.798</v>
      </c>
      <c r="G22" s="235">
        <v>6.392</v>
      </c>
      <c r="H22" s="235">
        <v>4.522</v>
      </c>
      <c r="I22" s="235">
        <v>4.627</v>
      </c>
      <c r="J22" s="235">
        <f>3.334+0.835</f>
        <v>4.1690000000000005</v>
      </c>
      <c r="K22" s="235">
        <f>2.879+0.722</f>
        <v>3.601</v>
      </c>
      <c r="L22" s="235">
        <f>2.603+0.588</f>
        <v>3.1910000000000003</v>
      </c>
      <c r="M22" s="235">
        <f>2.39+0.574</f>
        <v>2.964</v>
      </c>
      <c r="N22" s="235">
        <f>2.096+0.569</f>
        <v>2.665</v>
      </c>
      <c r="O22" s="235">
        <f>2.266+0.489</f>
        <v>2.755</v>
      </c>
      <c r="P22" s="235">
        <v>2.833</v>
      </c>
      <c r="Q22" s="235">
        <f>2.508+0.505</f>
        <v>3.013</v>
      </c>
      <c r="R22" s="235">
        <f>2.583+0.404</f>
        <v>2.987</v>
      </c>
      <c r="S22" s="235">
        <f>3.14+0.409</f>
        <v>3.549</v>
      </c>
      <c r="T22" s="235">
        <f>3.267+0.424</f>
        <v>3.691</v>
      </c>
      <c r="U22" s="235">
        <f>3.283+0.413</f>
        <v>3.6959999999999997</v>
      </c>
      <c r="V22" s="235">
        <f>3.1703+0.4498</f>
        <v>3.6201</v>
      </c>
      <c r="W22" s="235">
        <f>2.9521+0.4691</f>
        <v>3.4212000000000002</v>
      </c>
      <c r="X22" s="235">
        <v>2.7746999999999997</v>
      </c>
      <c r="Y22" s="235">
        <f>2.3479+0.3457</f>
        <v>2.6936</v>
      </c>
      <c r="Z22" s="235">
        <v>2.748</v>
      </c>
      <c r="AA22" s="303">
        <f t="shared" si="3"/>
        <v>2.019602019602033</v>
      </c>
      <c r="AB22" s="154" t="s">
        <v>74</v>
      </c>
    </row>
    <row r="23" spans="1:29" s="214" customFormat="1" ht="12.75" customHeight="1">
      <c r="A23" s="290"/>
      <c r="B23" s="107" t="s">
        <v>77</v>
      </c>
      <c r="C23" s="359">
        <v>0.4</v>
      </c>
      <c r="D23" s="359">
        <v>0.44</v>
      </c>
      <c r="E23" s="243">
        <v>0.48</v>
      </c>
      <c r="F23" s="243">
        <v>0.49</v>
      </c>
      <c r="G23" s="243">
        <v>0.51</v>
      </c>
      <c r="H23" s="243">
        <v>0.52</v>
      </c>
      <c r="I23" s="243">
        <v>0.53</v>
      </c>
      <c r="J23" s="243">
        <v>0.54</v>
      </c>
      <c r="K23" s="243">
        <v>0.55</v>
      </c>
      <c r="L23" s="243">
        <v>0.56</v>
      </c>
      <c r="M23" s="243">
        <v>0.57</v>
      </c>
      <c r="N23" s="243">
        <v>0.58</v>
      </c>
      <c r="O23" s="243">
        <v>0.62</v>
      </c>
      <c r="P23" s="243">
        <v>0.66</v>
      </c>
      <c r="Q23" s="243">
        <v>0.72</v>
      </c>
      <c r="R23" s="243">
        <v>0.74</v>
      </c>
      <c r="S23" s="243">
        <v>0.77</v>
      </c>
      <c r="T23" s="243">
        <v>0.8</v>
      </c>
      <c r="U23" s="243">
        <v>0.82</v>
      </c>
      <c r="V23" s="243">
        <v>0.86</v>
      </c>
      <c r="W23" s="243">
        <v>0.91</v>
      </c>
      <c r="X23" s="243">
        <v>0.905872688234131</v>
      </c>
      <c r="Y23" s="243">
        <v>0.94</v>
      </c>
      <c r="Z23" s="243">
        <v>0.9876300463226344</v>
      </c>
      <c r="AA23" s="299">
        <f t="shared" si="3"/>
        <v>5.06702620453558</v>
      </c>
      <c r="AB23" s="107" t="s">
        <v>77</v>
      </c>
      <c r="AC23"/>
    </row>
    <row r="24" spans="1:28" ht="12.75" customHeight="1">
      <c r="A24" s="120"/>
      <c r="B24" s="154" t="s">
        <v>78</v>
      </c>
      <c r="C24" s="288" t="s">
        <v>100</v>
      </c>
      <c r="D24" s="288" t="s">
        <v>100</v>
      </c>
      <c r="E24" s="235">
        <v>19.261</v>
      </c>
      <c r="F24" s="235">
        <v>17.332</v>
      </c>
      <c r="G24" s="235">
        <v>15.971</v>
      </c>
      <c r="H24" s="235">
        <v>15.8</v>
      </c>
      <c r="I24" s="235">
        <v>16.392</v>
      </c>
      <c r="J24" s="235">
        <v>16.605</v>
      </c>
      <c r="K24" s="235">
        <v>16.564</v>
      </c>
      <c r="L24" s="235">
        <v>16.632</v>
      </c>
      <c r="M24" s="235">
        <v>17.172</v>
      </c>
      <c r="N24" s="235">
        <v>17.796</v>
      </c>
      <c r="O24" s="235">
        <v>18.732</v>
      </c>
      <c r="P24" s="235">
        <v>18.617</v>
      </c>
      <c r="Q24" s="235">
        <v>18.898</v>
      </c>
      <c r="R24" s="235">
        <v>18.707</v>
      </c>
      <c r="S24" s="235">
        <f>11.612+6.312+0.299</f>
        <v>18.223</v>
      </c>
      <c r="T24" s="235">
        <f>11.53+6.029+0.286</f>
        <v>17.845</v>
      </c>
      <c r="U24" s="235">
        <f>11.784+5.863+0.283</f>
        <v>17.930000000000003</v>
      </c>
      <c r="V24" s="235">
        <f>11.254+5.613+0.278</f>
        <v>17.145</v>
      </c>
      <c r="W24" s="235">
        <f>11.862+5.515+0.277</f>
        <v>17.654</v>
      </c>
      <c r="X24" s="235">
        <f>11.321+4.759+0.21</f>
        <v>16.29</v>
      </c>
      <c r="Y24" s="235">
        <f>11.776+4.484+0.201</f>
        <v>16.461</v>
      </c>
      <c r="Z24" s="235">
        <f>11.852+0.197+4.4067046</f>
        <v>16.4557046</v>
      </c>
      <c r="AA24" s="303">
        <f t="shared" si="3"/>
        <v>-0.032169370026110755</v>
      </c>
      <c r="AB24" s="154" t="s">
        <v>78</v>
      </c>
    </row>
    <row r="25" spans="1:29" s="214" customFormat="1" ht="12.75" customHeight="1">
      <c r="A25" s="290"/>
      <c r="B25" s="107" t="s">
        <v>79</v>
      </c>
      <c r="C25" s="357" t="s">
        <v>100</v>
      </c>
      <c r="D25" s="357" t="s">
        <v>100</v>
      </c>
      <c r="E25" s="236" t="s">
        <v>100</v>
      </c>
      <c r="F25" s="236" t="s">
        <v>100</v>
      </c>
      <c r="G25" s="236" t="s">
        <v>100</v>
      </c>
      <c r="H25" s="236" t="s">
        <v>100</v>
      </c>
      <c r="I25" s="236" t="s">
        <v>100</v>
      </c>
      <c r="J25" s="243">
        <v>0.41</v>
      </c>
      <c r="K25" s="243">
        <v>0.42</v>
      </c>
      <c r="L25" s="243">
        <v>0.44</v>
      </c>
      <c r="M25" s="243">
        <v>0.45</v>
      </c>
      <c r="N25" s="243">
        <v>0.455</v>
      </c>
      <c r="O25" s="243">
        <v>0.46</v>
      </c>
      <c r="P25" s="243">
        <v>0.47</v>
      </c>
      <c r="Q25" s="243">
        <v>0.48</v>
      </c>
      <c r="R25" s="243">
        <v>0.49</v>
      </c>
      <c r="S25" s="243">
        <v>0.5</v>
      </c>
      <c r="T25" s="243">
        <v>0.49</v>
      </c>
      <c r="U25" s="243">
        <v>0.5</v>
      </c>
      <c r="V25" s="243">
        <v>0.505</v>
      </c>
      <c r="W25" s="243">
        <v>0.51</v>
      </c>
      <c r="X25" s="243">
        <v>0.4848885722388764</v>
      </c>
      <c r="Y25" s="243">
        <v>0.5</v>
      </c>
      <c r="Z25" s="243">
        <v>0.47567815316050804</v>
      </c>
      <c r="AA25" s="299">
        <f t="shared" si="3"/>
        <v>-4.864369367898391</v>
      </c>
      <c r="AB25" s="107" t="s">
        <v>79</v>
      </c>
      <c r="AC25"/>
    </row>
    <row r="26" spans="1:28" ht="12.75" customHeight="1">
      <c r="A26" s="120"/>
      <c r="B26" s="154" t="s">
        <v>16</v>
      </c>
      <c r="C26" s="288">
        <v>9.5</v>
      </c>
      <c r="D26" s="313">
        <v>11.2</v>
      </c>
      <c r="E26" s="235">
        <v>13</v>
      </c>
      <c r="F26" s="308">
        <v>12.3</v>
      </c>
      <c r="G26" s="308">
        <v>13.2</v>
      </c>
      <c r="H26" s="308">
        <v>13.05</v>
      </c>
      <c r="I26" s="308">
        <v>12.15</v>
      </c>
      <c r="J26" s="308">
        <v>12</v>
      </c>
      <c r="K26" s="308">
        <v>11.85</v>
      </c>
      <c r="L26" s="308">
        <v>12</v>
      </c>
      <c r="M26" s="308">
        <v>11.7</v>
      </c>
      <c r="N26" s="308">
        <v>11.25</v>
      </c>
      <c r="O26" s="308">
        <v>11.25</v>
      </c>
      <c r="P26" s="234">
        <v>11.4</v>
      </c>
      <c r="Q26" s="308">
        <v>10.8</v>
      </c>
      <c r="R26" s="308">
        <v>11.25</v>
      </c>
      <c r="S26" s="308">
        <v>11.55</v>
      </c>
      <c r="T26" s="234">
        <v>11.75</v>
      </c>
      <c r="U26" s="234">
        <v>12</v>
      </c>
      <c r="V26" s="234">
        <v>12.25</v>
      </c>
      <c r="W26" s="234">
        <v>12.5</v>
      </c>
      <c r="X26" s="234">
        <v>12.0849760885192</v>
      </c>
      <c r="Y26" s="234">
        <v>12.13</v>
      </c>
      <c r="Z26" s="234">
        <v>11.934584035059281</v>
      </c>
      <c r="AA26" s="289">
        <f t="shared" si="3"/>
        <v>-1.6110137258097268</v>
      </c>
      <c r="AB26" s="154" t="s">
        <v>16</v>
      </c>
    </row>
    <row r="27" spans="1:29" s="214" customFormat="1" ht="12.75" customHeight="1">
      <c r="A27" s="290"/>
      <c r="B27" s="107" t="s">
        <v>82</v>
      </c>
      <c r="C27" s="357">
        <v>9.1</v>
      </c>
      <c r="D27" s="357">
        <v>9.8</v>
      </c>
      <c r="E27" s="236">
        <v>7.969</v>
      </c>
      <c r="F27" s="236">
        <v>7.927</v>
      </c>
      <c r="G27" s="236">
        <v>8.089</v>
      </c>
      <c r="H27" s="236">
        <v>8.331</v>
      </c>
      <c r="I27" s="236">
        <v>8.479</v>
      </c>
      <c r="J27" s="236">
        <v>8.7</v>
      </c>
      <c r="K27" s="236">
        <v>8.699</v>
      </c>
      <c r="L27" s="236">
        <v>8.772</v>
      </c>
      <c r="M27" s="236">
        <v>8.936</v>
      </c>
      <c r="N27" s="236">
        <v>8.943</v>
      </c>
      <c r="O27" s="236">
        <v>9.223</v>
      </c>
      <c r="P27" s="236">
        <v>9.174</v>
      </c>
      <c r="Q27" s="236">
        <v>9.282</v>
      </c>
      <c r="R27" s="236">
        <v>9.453</v>
      </c>
      <c r="S27" s="236">
        <v>9.576</v>
      </c>
      <c r="T27" s="236">
        <v>9.319</v>
      </c>
      <c r="U27" s="236">
        <v>9.219</v>
      </c>
      <c r="V27" s="236">
        <v>9.79</v>
      </c>
      <c r="W27" s="236">
        <v>9.551</v>
      </c>
      <c r="X27" s="236">
        <v>8.824</v>
      </c>
      <c r="Y27" s="236">
        <v>9.587</v>
      </c>
      <c r="Z27" s="236">
        <v>9.533</v>
      </c>
      <c r="AA27" s="294">
        <f t="shared" si="3"/>
        <v>-0.5632627516428528</v>
      </c>
      <c r="AB27" s="107" t="s">
        <v>82</v>
      </c>
      <c r="AC27" s="135"/>
    </row>
    <row r="28" spans="1:28" ht="12.75" customHeight="1">
      <c r="A28" s="120"/>
      <c r="B28" s="154" t="s">
        <v>81</v>
      </c>
      <c r="C28" s="288">
        <v>29.14</v>
      </c>
      <c r="D28" s="288">
        <v>49.223</v>
      </c>
      <c r="E28" s="235">
        <v>46.3</v>
      </c>
      <c r="F28" s="235">
        <v>41.72</v>
      </c>
      <c r="G28" s="235">
        <v>39.008</v>
      </c>
      <c r="H28" s="235">
        <v>37.811</v>
      </c>
      <c r="I28" s="235">
        <v>34.262</v>
      </c>
      <c r="J28" s="235">
        <v>34.024</v>
      </c>
      <c r="K28" s="235">
        <v>33.984</v>
      </c>
      <c r="L28" s="235">
        <v>33.128</v>
      </c>
      <c r="M28" s="235">
        <v>34.035</v>
      </c>
      <c r="N28" s="235">
        <v>33.25</v>
      </c>
      <c r="O28" s="235">
        <v>31.735</v>
      </c>
      <c r="P28" s="235">
        <v>30.996</v>
      </c>
      <c r="Q28" s="235">
        <v>29.295</v>
      </c>
      <c r="R28" s="235">
        <v>29.996</v>
      </c>
      <c r="S28" s="235">
        <v>30.118</v>
      </c>
      <c r="T28" s="235">
        <v>29.314</v>
      </c>
      <c r="U28" s="235">
        <v>28.148</v>
      </c>
      <c r="V28" s="235">
        <v>27.359</v>
      </c>
      <c r="W28" s="235">
        <v>26.791</v>
      </c>
      <c r="X28" s="235">
        <v>24.386</v>
      </c>
      <c r="Y28" s="235">
        <v>21.6</v>
      </c>
      <c r="Z28" s="235">
        <v>20.651</v>
      </c>
      <c r="AA28" s="303">
        <f t="shared" si="3"/>
        <v>-4.393518518518519</v>
      </c>
      <c r="AB28" s="154" t="s">
        <v>81</v>
      </c>
    </row>
    <row r="29" spans="1:29" s="214" customFormat="1" ht="12.75" customHeight="1">
      <c r="A29" s="290"/>
      <c r="B29" s="107" t="s">
        <v>93</v>
      </c>
      <c r="C29" s="357">
        <v>4.358</v>
      </c>
      <c r="D29" s="357">
        <v>7.6</v>
      </c>
      <c r="E29" s="236">
        <v>10.3</v>
      </c>
      <c r="F29" s="236">
        <v>10.7</v>
      </c>
      <c r="G29" s="236">
        <v>11.4</v>
      </c>
      <c r="H29" s="236">
        <v>11.8</v>
      </c>
      <c r="I29" s="236">
        <v>12.55</v>
      </c>
      <c r="J29" s="236">
        <v>11.3</v>
      </c>
      <c r="K29" s="236">
        <v>11.1</v>
      </c>
      <c r="L29" s="236">
        <v>11.6</v>
      </c>
      <c r="M29" s="236">
        <v>11.55</v>
      </c>
      <c r="N29" s="236">
        <v>11.48</v>
      </c>
      <c r="O29" s="236">
        <v>11.821</v>
      </c>
      <c r="P29" s="236">
        <v>11.159</v>
      </c>
      <c r="Q29" s="236">
        <v>9.936</v>
      </c>
      <c r="R29" s="236">
        <v>10.537</v>
      </c>
      <c r="S29" s="236">
        <v>10.809</v>
      </c>
      <c r="T29" s="243">
        <v>11.1</v>
      </c>
      <c r="U29" s="243">
        <v>10.557</v>
      </c>
      <c r="V29" s="243">
        <v>10.878</v>
      </c>
      <c r="W29" s="243">
        <v>10.937</v>
      </c>
      <c r="X29" s="243">
        <v>10.445615885670689</v>
      </c>
      <c r="Y29" s="243">
        <v>10.58</v>
      </c>
      <c r="Z29" s="243">
        <v>10.616790296106524</v>
      </c>
      <c r="AA29" s="299">
        <f t="shared" si="3"/>
        <v>0.3477343677365212</v>
      </c>
      <c r="AB29" s="107" t="s">
        <v>93</v>
      </c>
      <c r="AC29"/>
    </row>
    <row r="30" spans="1:28" ht="12.75" customHeight="1">
      <c r="A30" s="120"/>
      <c r="B30" s="154" t="s">
        <v>103</v>
      </c>
      <c r="C30" s="288">
        <v>7.858</v>
      </c>
      <c r="D30" s="288">
        <v>24.016</v>
      </c>
      <c r="E30" s="235">
        <v>24.007</v>
      </c>
      <c r="F30" s="235">
        <v>20.835</v>
      </c>
      <c r="G30" s="235">
        <v>25.649</v>
      </c>
      <c r="H30" s="311">
        <v>20.512</v>
      </c>
      <c r="I30" s="235">
        <v>14.058</v>
      </c>
      <c r="J30" s="235">
        <v>12.343</v>
      </c>
      <c r="K30" s="235">
        <v>12.842</v>
      </c>
      <c r="L30" s="235">
        <v>13.531</v>
      </c>
      <c r="M30" s="234">
        <v>13</v>
      </c>
      <c r="N30" s="234">
        <v>12.5</v>
      </c>
      <c r="O30" s="234">
        <v>12</v>
      </c>
      <c r="P30" s="234">
        <v>11.5</v>
      </c>
      <c r="Q30" s="234">
        <v>11.5</v>
      </c>
      <c r="R30" s="234">
        <v>11.5</v>
      </c>
      <c r="S30" s="234">
        <v>11.5</v>
      </c>
      <c r="T30" s="235">
        <v>11.812</v>
      </c>
      <c r="U30" s="235">
        <v>11.735</v>
      </c>
      <c r="V30" s="235">
        <v>12.156</v>
      </c>
      <c r="W30" s="311">
        <v>13.88</v>
      </c>
      <c r="X30" s="235">
        <v>12.805</v>
      </c>
      <c r="Y30" s="235">
        <v>11.955</v>
      </c>
      <c r="Z30" s="235">
        <v>11.773</v>
      </c>
      <c r="AA30" s="303">
        <f t="shared" si="3"/>
        <v>-1.5223755750731982</v>
      </c>
      <c r="AB30" s="154" t="s">
        <v>103</v>
      </c>
    </row>
    <row r="31" spans="1:29" s="214" customFormat="1" ht="12.75" customHeight="1">
      <c r="A31" s="290"/>
      <c r="B31" s="107" t="s">
        <v>84</v>
      </c>
      <c r="C31" s="357">
        <v>2.642</v>
      </c>
      <c r="D31" s="357">
        <v>4.925</v>
      </c>
      <c r="E31" s="236">
        <v>6.508</v>
      </c>
      <c r="F31" s="236">
        <v>5.554</v>
      </c>
      <c r="G31" s="236">
        <v>4.17</v>
      </c>
      <c r="H31" s="236">
        <v>3.894</v>
      </c>
      <c r="I31" s="236">
        <v>4.053</v>
      </c>
      <c r="J31" s="236">
        <v>4.113</v>
      </c>
      <c r="K31" s="236">
        <v>4.301</v>
      </c>
      <c r="L31" s="236">
        <v>4.379</v>
      </c>
      <c r="M31" s="236">
        <v>3.876</v>
      </c>
      <c r="N31" s="236">
        <v>4.138</v>
      </c>
      <c r="O31" s="236">
        <v>3.502</v>
      </c>
      <c r="P31" s="236">
        <v>3.393</v>
      </c>
      <c r="Q31" s="236">
        <v>3.339</v>
      </c>
      <c r="R31" s="236">
        <v>3.446</v>
      </c>
      <c r="S31" s="236">
        <v>3.218</v>
      </c>
      <c r="T31" s="236">
        <v>3.062</v>
      </c>
      <c r="U31" s="236">
        <v>3.133</v>
      </c>
      <c r="V31" s="236">
        <v>3.235</v>
      </c>
      <c r="W31" s="236">
        <v>3.146</v>
      </c>
      <c r="X31" s="236">
        <v>3.196</v>
      </c>
      <c r="Y31" s="236">
        <v>3.183</v>
      </c>
      <c r="Z31" s="243">
        <v>3.244143134443557</v>
      </c>
      <c r="AA31" s="316">
        <f t="shared" si="3"/>
        <v>1.9209278807275325</v>
      </c>
      <c r="AB31" s="107" t="s">
        <v>84</v>
      </c>
      <c r="AC31"/>
    </row>
    <row r="32" spans="1:28" ht="12.75" customHeight="1">
      <c r="A32" s="120"/>
      <c r="B32" s="154" t="s">
        <v>86</v>
      </c>
      <c r="C32" s="318"/>
      <c r="D32" s="318"/>
      <c r="E32" s="319"/>
      <c r="F32" s="235"/>
      <c r="G32" s="235"/>
      <c r="H32" s="235"/>
      <c r="I32" s="235"/>
      <c r="J32" s="235">
        <f>11.191+3.25</f>
        <v>14.441</v>
      </c>
      <c r="K32" s="235">
        <f>11.1+3.38</f>
        <v>14.48</v>
      </c>
      <c r="L32" s="235">
        <f>9.969+3.5</f>
        <v>13.469</v>
      </c>
      <c r="M32" s="235">
        <f>8.84+3.62</f>
        <v>12.46</v>
      </c>
      <c r="N32" s="235">
        <f>7.833+3.52</f>
        <v>11.353</v>
      </c>
      <c r="O32" s="234">
        <v>9.3174635</v>
      </c>
      <c r="P32" s="234">
        <v>9.24563722</v>
      </c>
      <c r="Q32" s="234">
        <v>9.24878837</v>
      </c>
      <c r="R32" s="234">
        <v>8.7739944</v>
      </c>
      <c r="S32" s="234">
        <v>8.84976323</v>
      </c>
      <c r="T32" s="234">
        <v>8.53778246</v>
      </c>
      <c r="U32" s="234">
        <v>8.683574</v>
      </c>
      <c r="V32" s="234">
        <v>8.652062</v>
      </c>
      <c r="W32" s="234">
        <v>7.4487156</v>
      </c>
      <c r="X32" s="234">
        <v>5.3724741</v>
      </c>
      <c r="Y32" s="234">
        <v>5.2715569</v>
      </c>
      <c r="Z32" s="234">
        <v>5.47648</v>
      </c>
      <c r="AA32" s="289">
        <f t="shared" si="3"/>
        <v>3.887335447332447</v>
      </c>
      <c r="AB32" s="154" t="s">
        <v>86</v>
      </c>
    </row>
    <row r="33" spans="1:28" ht="12.75" customHeight="1">
      <c r="A33" s="120"/>
      <c r="B33" s="107" t="s">
        <v>88</v>
      </c>
      <c r="C33" s="286">
        <v>7.5</v>
      </c>
      <c r="D33" s="286">
        <v>8.5</v>
      </c>
      <c r="E33" s="240">
        <v>8.5</v>
      </c>
      <c r="F33" s="240">
        <v>8.1</v>
      </c>
      <c r="G33" s="240">
        <v>8</v>
      </c>
      <c r="H33" s="240">
        <v>8</v>
      </c>
      <c r="I33" s="240">
        <v>8</v>
      </c>
      <c r="J33" s="240">
        <v>8</v>
      </c>
      <c r="K33" s="240">
        <v>8</v>
      </c>
      <c r="L33" s="240">
        <v>8</v>
      </c>
      <c r="M33" s="240">
        <v>7.8</v>
      </c>
      <c r="N33" s="240">
        <v>7.6</v>
      </c>
      <c r="O33" s="240">
        <v>7.7</v>
      </c>
      <c r="P33" s="240">
        <v>7.7</v>
      </c>
      <c r="Q33" s="240">
        <v>7.7</v>
      </c>
      <c r="R33" s="240">
        <v>7.67</v>
      </c>
      <c r="S33" s="240">
        <v>7.605</v>
      </c>
      <c r="T33" s="240">
        <v>7.54</v>
      </c>
      <c r="U33" s="240">
        <v>7.54</v>
      </c>
      <c r="V33" s="240">
        <v>7.54</v>
      </c>
      <c r="W33" s="240">
        <v>7.54</v>
      </c>
      <c r="X33" s="240">
        <v>7.54</v>
      </c>
      <c r="Y33" s="240">
        <v>7.54</v>
      </c>
      <c r="Z33" s="240">
        <v>7.54</v>
      </c>
      <c r="AA33" s="302">
        <f t="shared" si="3"/>
        <v>0</v>
      </c>
      <c r="AB33" s="107" t="s">
        <v>88</v>
      </c>
    </row>
    <row r="34" spans="1:28" ht="12.75" customHeight="1">
      <c r="A34" s="120"/>
      <c r="B34" s="154" t="s">
        <v>89</v>
      </c>
      <c r="C34" s="288">
        <v>5.5</v>
      </c>
      <c r="D34" s="313">
        <v>7.3</v>
      </c>
      <c r="E34" s="235">
        <v>9.663565396357743</v>
      </c>
      <c r="F34" s="235">
        <v>9.677871179540276</v>
      </c>
      <c r="G34" s="235">
        <v>9.699579341247878</v>
      </c>
      <c r="H34" s="235">
        <v>9.421206473765904</v>
      </c>
      <c r="I34" s="235">
        <v>9.531356730066832</v>
      </c>
      <c r="J34" s="235">
        <v>9.70318298834586</v>
      </c>
      <c r="K34" s="235">
        <v>9.815881642468796</v>
      </c>
      <c r="L34" s="235">
        <v>9.822218249358277</v>
      </c>
      <c r="M34" s="235">
        <v>9.777521360228848</v>
      </c>
      <c r="N34" s="235">
        <v>9.755750625837438</v>
      </c>
      <c r="O34" s="235">
        <v>9.451516631541596</v>
      </c>
      <c r="P34" s="235">
        <v>9.192688278826282</v>
      </c>
      <c r="Q34" s="235">
        <v>9.269930842675889</v>
      </c>
      <c r="R34" s="235">
        <v>9.12657476361352</v>
      </c>
      <c r="S34" s="235">
        <v>8.895604098507814</v>
      </c>
      <c r="T34" s="235">
        <v>8.76</v>
      </c>
      <c r="U34" s="235">
        <v>8.72</v>
      </c>
      <c r="V34" s="235">
        <v>8.76</v>
      </c>
      <c r="W34" s="235">
        <v>8.52</v>
      </c>
      <c r="X34" s="235">
        <v>8.52</v>
      </c>
      <c r="Y34" s="235">
        <v>8.56</v>
      </c>
      <c r="Z34" s="235">
        <v>8.73</v>
      </c>
      <c r="AA34" s="303">
        <f t="shared" si="3"/>
        <v>1.985981308411212</v>
      </c>
      <c r="AB34" s="154" t="s">
        <v>89</v>
      </c>
    </row>
    <row r="35" spans="1:28" ht="12.75" customHeight="1">
      <c r="A35" s="120"/>
      <c r="B35" s="109" t="s">
        <v>13</v>
      </c>
      <c r="C35" s="360">
        <f>60.2+1.5</f>
        <v>61.7</v>
      </c>
      <c r="D35" s="360">
        <f>52.2+1.5</f>
        <v>53.7</v>
      </c>
      <c r="E35" s="248">
        <f>46.2+1.5</f>
        <v>47.7</v>
      </c>
      <c r="F35" s="248">
        <f>45.2+1.5</f>
        <v>46.7</v>
      </c>
      <c r="G35" s="248">
        <f>44.2+1.5</f>
        <v>45.7</v>
      </c>
      <c r="H35" s="248">
        <f>44.2+1.5</f>
        <v>45.7</v>
      </c>
      <c r="I35" s="248">
        <f>44.3+1.5</f>
        <v>45.8</v>
      </c>
      <c r="J35" s="248">
        <f>44.3+1.5</f>
        <v>45.8</v>
      </c>
      <c r="K35" s="248">
        <f>44.2+1.5</f>
        <v>45.7</v>
      </c>
      <c r="L35" s="248">
        <f>44.2+1.5</f>
        <v>45.7</v>
      </c>
      <c r="M35" s="248">
        <f>45+1.5</f>
        <v>46.5</v>
      </c>
      <c r="N35" s="248">
        <f>46+1.5</f>
        <v>47.5</v>
      </c>
      <c r="O35" s="248">
        <f>47+1.5</f>
        <v>48.5</v>
      </c>
      <c r="P35" s="248">
        <f>47+1.5</f>
        <v>48.5</v>
      </c>
      <c r="Q35" s="248">
        <f>47+1.5</f>
        <v>48.5</v>
      </c>
      <c r="R35" s="361">
        <f>47+1.5</f>
        <v>48.5</v>
      </c>
      <c r="S35" s="248">
        <f>45+1.5</f>
        <v>46.5</v>
      </c>
      <c r="T35" s="248">
        <f>45+1.5</f>
        <v>46.5</v>
      </c>
      <c r="U35" s="248">
        <f>43+1.5</f>
        <v>44.5</v>
      </c>
      <c r="V35" s="248">
        <f>45+1.5</f>
        <v>46.5</v>
      </c>
      <c r="W35" s="248">
        <f>44+1.5</f>
        <v>45.5</v>
      </c>
      <c r="X35" s="248">
        <f>45+1.5</f>
        <v>46.5</v>
      </c>
      <c r="Y35" s="248">
        <f>45+1.5</f>
        <v>46.5</v>
      </c>
      <c r="Z35" s="248">
        <f>43.4+1.5</f>
        <v>44.9</v>
      </c>
      <c r="AA35" s="362">
        <f t="shared" si="3"/>
        <v>-3.4408602150537604</v>
      </c>
      <c r="AB35" s="109" t="s">
        <v>13</v>
      </c>
    </row>
    <row r="36" spans="1:28" ht="12.75" customHeight="1">
      <c r="A36" s="120"/>
      <c r="B36" s="154" t="s">
        <v>164</v>
      </c>
      <c r="C36" s="288">
        <v>3.3</v>
      </c>
      <c r="D36" s="288">
        <v>7.1</v>
      </c>
      <c r="E36" s="235">
        <v>7</v>
      </c>
      <c r="F36" s="235" t="s">
        <v>100</v>
      </c>
      <c r="G36" s="235" t="s">
        <v>100</v>
      </c>
      <c r="H36" s="235" t="s">
        <v>100</v>
      </c>
      <c r="I36" s="235" t="s">
        <v>100</v>
      </c>
      <c r="J36" s="235">
        <v>4.051915</v>
      </c>
      <c r="K36" s="235">
        <v>4.266118</v>
      </c>
      <c r="L36" s="235">
        <v>4.459067</v>
      </c>
      <c r="M36" s="235">
        <v>3.963847</v>
      </c>
      <c r="N36" s="235">
        <v>3.354983</v>
      </c>
      <c r="O36" s="235">
        <v>3.331147</v>
      </c>
      <c r="P36" s="235">
        <v>3.477757</v>
      </c>
      <c r="Q36" s="235">
        <v>3.557693</v>
      </c>
      <c r="R36" s="235">
        <v>3.71685</v>
      </c>
      <c r="S36" s="235">
        <v>3.390253</v>
      </c>
      <c r="T36" s="235">
        <v>3.403469</v>
      </c>
      <c r="U36" s="235">
        <v>3.537056</v>
      </c>
      <c r="V36" s="235">
        <v>3.80798</v>
      </c>
      <c r="W36" s="235">
        <v>4.093489</v>
      </c>
      <c r="X36" s="235">
        <v>3.437996</v>
      </c>
      <c r="Y36" s="235">
        <v>3.248418</v>
      </c>
      <c r="Z36" s="235">
        <v>3.145021</v>
      </c>
      <c r="AA36" s="303">
        <f t="shared" si="3"/>
        <v>-3.182995538135799</v>
      </c>
      <c r="AB36" s="154" t="s">
        <v>164</v>
      </c>
    </row>
    <row r="37" spans="1:29" s="214" customFormat="1" ht="12.75" customHeight="1">
      <c r="A37" s="290"/>
      <c r="B37" s="107" t="s">
        <v>165</v>
      </c>
      <c r="C37" s="354"/>
      <c r="D37" s="354"/>
      <c r="E37" s="355"/>
      <c r="F37" s="236"/>
      <c r="G37" s="236"/>
      <c r="H37" s="236"/>
      <c r="I37" s="236"/>
      <c r="J37" s="243">
        <v>0.9</v>
      </c>
      <c r="K37" s="243">
        <v>0.9</v>
      </c>
      <c r="L37" s="243">
        <v>0.9</v>
      </c>
      <c r="M37" s="243">
        <v>0.9</v>
      </c>
      <c r="N37" s="243">
        <v>0.9</v>
      </c>
      <c r="O37" s="243">
        <v>0.9</v>
      </c>
      <c r="P37" s="236">
        <v>0.831</v>
      </c>
      <c r="Q37" s="243">
        <v>1</v>
      </c>
      <c r="R37" s="236">
        <v>1.344</v>
      </c>
      <c r="S37" s="236">
        <v>1.11</v>
      </c>
      <c r="T37" s="236">
        <v>1.086</v>
      </c>
      <c r="U37" s="236">
        <v>1.016</v>
      </c>
      <c r="V37" s="236">
        <v>1.027</v>
      </c>
      <c r="W37" s="236">
        <v>1.239</v>
      </c>
      <c r="X37" s="236">
        <v>1.213</v>
      </c>
      <c r="Y37" s="236">
        <f>1.441</f>
        <v>1.441</v>
      </c>
      <c r="Z37" s="236">
        <v>1.64</v>
      </c>
      <c r="AA37" s="294">
        <f t="shared" si="3"/>
        <v>13.809854267869511</v>
      </c>
      <c r="AB37" s="107" t="s">
        <v>165</v>
      </c>
      <c r="AC37"/>
    </row>
    <row r="38" spans="1:28" ht="12.75" customHeight="1">
      <c r="A38" s="120"/>
      <c r="B38" s="156" t="s">
        <v>166</v>
      </c>
      <c r="C38" s="288" t="s">
        <v>100</v>
      </c>
      <c r="D38" s="288" t="s">
        <v>100</v>
      </c>
      <c r="E38" s="235" t="s">
        <v>100</v>
      </c>
      <c r="F38" s="235" t="s">
        <v>100</v>
      </c>
      <c r="G38" s="235" t="s">
        <v>100</v>
      </c>
      <c r="H38" s="235">
        <v>86.914</v>
      </c>
      <c r="I38" s="235">
        <v>79.17</v>
      </c>
      <c r="J38" s="235">
        <v>85.674</v>
      </c>
      <c r="K38" s="235">
        <v>91.658</v>
      </c>
      <c r="L38" s="235">
        <v>95.36</v>
      </c>
      <c r="M38" s="235">
        <v>94.914</v>
      </c>
      <c r="N38" s="235">
        <v>91.263</v>
      </c>
      <c r="O38" s="235">
        <v>87.391</v>
      </c>
      <c r="P38" s="235">
        <v>76.8</v>
      </c>
      <c r="Q38" s="234">
        <v>80</v>
      </c>
      <c r="R38" s="234">
        <v>81</v>
      </c>
      <c r="S38" s="234">
        <v>85</v>
      </c>
      <c r="T38" s="234">
        <v>95</v>
      </c>
      <c r="U38" s="234">
        <v>100</v>
      </c>
      <c r="V38" s="234">
        <v>105</v>
      </c>
      <c r="W38" s="234">
        <v>110</v>
      </c>
      <c r="X38" s="234">
        <v>105.8128380959506</v>
      </c>
      <c r="Y38" s="234">
        <v>107.58</v>
      </c>
      <c r="Z38" s="234">
        <v>111.1790720647237</v>
      </c>
      <c r="AA38" s="327">
        <f t="shared" si="3"/>
        <v>3.345484350923684</v>
      </c>
      <c r="AB38" s="156" t="s">
        <v>166</v>
      </c>
    </row>
    <row r="39" spans="1:29" s="214" customFormat="1" ht="12.75" customHeight="1">
      <c r="A39" s="290"/>
      <c r="B39" s="107" t="s">
        <v>167</v>
      </c>
      <c r="C39" s="363" t="s">
        <v>100</v>
      </c>
      <c r="D39" s="363" t="s">
        <v>100</v>
      </c>
      <c r="E39" s="364" t="s">
        <v>100</v>
      </c>
      <c r="F39" s="364" t="s">
        <v>100</v>
      </c>
      <c r="G39" s="364" t="s">
        <v>100</v>
      </c>
      <c r="H39" s="364" t="s">
        <v>100</v>
      </c>
      <c r="I39" s="364" t="s">
        <v>100</v>
      </c>
      <c r="J39" s="364">
        <v>0.389</v>
      </c>
      <c r="K39" s="364">
        <v>0.408</v>
      </c>
      <c r="L39" s="364">
        <v>0.433</v>
      </c>
      <c r="M39" s="364">
        <v>0.458</v>
      </c>
      <c r="N39" s="364">
        <v>0.468</v>
      </c>
      <c r="O39" s="364">
        <v>0.485</v>
      </c>
      <c r="P39" s="364">
        <v>0.508</v>
      </c>
      <c r="Q39" s="364">
        <v>0.523</v>
      </c>
      <c r="R39" s="364">
        <v>0.537</v>
      </c>
      <c r="S39" s="364">
        <v>0.554</v>
      </c>
      <c r="T39" s="364">
        <v>0.587</v>
      </c>
      <c r="U39" s="364">
        <v>0.622</v>
      </c>
      <c r="V39" s="364">
        <v>0.653</v>
      </c>
      <c r="W39" s="364">
        <v>0.636</v>
      </c>
      <c r="X39" s="364">
        <v>0.644</v>
      </c>
      <c r="Y39" s="364">
        <v>0.638</v>
      </c>
      <c r="Z39" s="364">
        <v>0.615</v>
      </c>
      <c r="AA39" s="365">
        <f t="shared" si="3"/>
        <v>-3.6050156739811996</v>
      </c>
      <c r="AB39" s="107" t="s">
        <v>167</v>
      </c>
      <c r="AC39"/>
    </row>
    <row r="40" spans="1:28" ht="12.75" customHeight="1">
      <c r="A40" s="120"/>
      <c r="B40" s="154" t="s">
        <v>168</v>
      </c>
      <c r="C40" s="288">
        <v>3.726</v>
      </c>
      <c r="D40" s="288">
        <v>4.257</v>
      </c>
      <c r="E40" s="235">
        <v>3.89</v>
      </c>
      <c r="F40" s="235">
        <v>3.935</v>
      </c>
      <c r="G40" s="235">
        <v>3.935</v>
      </c>
      <c r="H40" s="235">
        <v>3.935</v>
      </c>
      <c r="I40" s="235">
        <v>4</v>
      </c>
      <c r="J40" s="235">
        <v>3.752</v>
      </c>
      <c r="K40" s="235">
        <v>4.117</v>
      </c>
      <c r="L40" s="235">
        <v>4.248</v>
      </c>
      <c r="M40" s="235">
        <v>4.212</v>
      </c>
      <c r="N40" s="235">
        <v>4.177</v>
      </c>
      <c r="O40" s="235">
        <v>4.141</v>
      </c>
      <c r="P40" s="235">
        <v>4.105</v>
      </c>
      <c r="Q40" s="235">
        <v>4.125</v>
      </c>
      <c r="R40" s="235">
        <v>4.005</v>
      </c>
      <c r="S40" s="235">
        <v>4.231</v>
      </c>
      <c r="T40" s="235">
        <v>4.312</v>
      </c>
      <c r="U40" s="235">
        <v>4.258</v>
      </c>
      <c r="V40" s="235">
        <v>4.268</v>
      </c>
      <c r="W40" s="235">
        <v>4.36</v>
      </c>
      <c r="X40" s="235">
        <v>4.401</v>
      </c>
      <c r="Y40" s="235">
        <f>4.506</f>
        <v>4.506</v>
      </c>
      <c r="Z40" s="235">
        <v>4.748</v>
      </c>
      <c r="AA40" s="303">
        <f t="shared" si="3"/>
        <v>5.370616955170888</v>
      </c>
      <c r="AB40" s="154" t="s">
        <v>168</v>
      </c>
    </row>
    <row r="41" spans="1:29" s="214" customFormat="1" ht="12.75" customHeight="1">
      <c r="A41" s="290"/>
      <c r="B41" s="109" t="s">
        <v>169</v>
      </c>
      <c r="C41" s="366">
        <v>1.885</v>
      </c>
      <c r="D41" s="366">
        <v>2.486</v>
      </c>
      <c r="E41" s="367">
        <v>3.318</v>
      </c>
      <c r="F41" s="367">
        <v>3.627</v>
      </c>
      <c r="G41" s="367">
        <v>3.583</v>
      </c>
      <c r="H41" s="367">
        <v>3.539</v>
      </c>
      <c r="I41" s="368">
        <v>3.531</v>
      </c>
      <c r="J41" s="367">
        <f>2.3881+0.8137+2.327</f>
        <v>5.5288</v>
      </c>
      <c r="K41" s="367">
        <f>2.2944+0.8259+2.304</f>
        <v>5.4243</v>
      </c>
      <c r="L41" s="367">
        <f>2.2758+0.8245+2.287</f>
        <v>5.3873</v>
      </c>
      <c r="M41" s="369">
        <f>0.547+2.0788+2.129</f>
        <v>4.7548</v>
      </c>
      <c r="N41" s="367">
        <f>0.529+2.1269+2.069</f>
        <v>4.7249</v>
      </c>
      <c r="O41" s="367">
        <f>0.5283+2.1834+2.087</f>
        <v>4.7987</v>
      </c>
      <c r="P41" s="367">
        <f>0.5267+2.3116+2.01</f>
        <v>4.8483</v>
      </c>
      <c r="Q41" s="367">
        <f>0.5281+2.3648+1.968</f>
        <v>4.8609</v>
      </c>
      <c r="R41" s="367">
        <f>0.5193+2.4579+2.017</f>
        <v>4.994199999999999</v>
      </c>
      <c r="S41" s="367">
        <f>0.5348+2.4569+2.066</f>
        <v>5.0577000000000005</v>
      </c>
      <c r="T41" s="367">
        <f>0.5342+2.5423+2.235</f>
        <v>5.3115000000000006</v>
      </c>
      <c r="U41" s="367">
        <f>0.5348+2.5673+2.5</f>
        <v>5.6021</v>
      </c>
      <c r="V41" s="367">
        <f>0.5137+2.6273+2.532</f>
        <v>5.673</v>
      </c>
      <c r="W41" s="367">
        <f>0.528+2.4059+2.41</f>
        <v>5.3439</v>
      </c>
      <c r="X41" s="367">
        <f>0.5084+2.4758+2.451</f>
        <v>5.4352</v>
      </c>
      <c r="Y41" s="367">
        <f>0.5153+2.5112+2.499</f>
        <v>5.5255</v>
      </c>
      <c r="Z41" s="367">
        <f>0.5181+2.5287+2.577</f>
        <v>5.6238</v>
      </c>
      <c r="AA41" s="322">
        <f t="shared" si="3"/>
        <v>1.7790245226676262</v>
      </c>
      <c r="AB41" s="109" t="s">
        <v>169</v>
      </c>
      <c r="AC41"/>
    </row>
    <row r="42" spans="2:28" ht="15" customHeight="1">
      <c r="B42" s="370" t="s">
        <v>209</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1"/>
    </row>
    <row r="43" spans="2:27" ht="12.75" customHeight="1">
      <c r="B43" s="372" t="s">
        <v>197</v>
      </c>
      <c r="C43" s="373"/>
      <c r="D43" s="338"/>
      <c r="E43" s="338"/>
      <c r="F43" s="338"/>
      <c r="G43" s="338"/>
      <c r="H43" s="374"/>
      <c r="I43" s="338"/>
      <c r="J43" s="338"/>
      <c r="K43" s="335"/>
      <c r="L43" s="338"/>
      <c r="M43" s="336"/>
      <c r="N43" s="336"/>
      <c r="O43" s="338"/>
      <c r="P43" s="336"/>
      <c r="Q43" s="336"/>
      <c r="R43" s="375"/>
      <c r="S43" s="376"/>
      <c r="T43" s="376"/>
      <c r="U43" s="376"/>
      <c r="V43" s="376"/>
      <c r="W43" s="376"/>
      <c r="X43" s="376"/>
      <c r="Y43" s="376"/>
      <c r="Z43" s="376"/>
      <c r="AA43" s="376"/>
    </row>
    <row r="44" spans="2:29" s="268" customFormat="1" ht="12.75" customHeight="1">
      <c r="B44" s="268" t="s">
        <v>203</v>
      </c>
      <c r="D44" s="377"/>
      <c r="E44" s="377"/>
      <c r="F44" s="377"/>
      <c r="G44" s="377"/>
      <c r="H44" s="377"/>
      <c r="I44" s="377"/>
      <c r="J44" s="377"/>
      <c r="K44" s="377"/>
      <c r="L44" s="377"/>
      <c r="M44" s="377"/>
      <c r="N44" s="377"/>
      <c r="O44" s="377"/>
      <c r="P44" s="377"/>
      <c r="Q44" s="377"/>
      <c r="R44" s="377"/>
      <c r="AC44"/>
    </row>
    <row r="45" spans="2:29" s="268" customFormat="1" ht="15.75" customHeight="1">
      <c r="B45" s="1093" t="s">
        <v>210</v>
      </c>
      <c r="C45" s="1093"/>
      <c r="D45" s="1093"/>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3"/>
      <c r="AA45" s="1093"/>
      <c r="AC45"/>
    </row>
    <row r="46" spans="2:29" s="268" customFormat="1" ht="12.75" customHeight="1">
      <c r="B46" s="378" t="s">
        <v>211</v>
      </c>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C46"/>
    </row>
    <row r="47" spans="3:27" ht="12.75" customHeight="1">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row>
    <row r="49" spans="2:18" ht="12.75" customHeight="1">
      <c r="B49" s="340"/>
      <c r="C49" s="268"/>
      <c r="D49" s="380"/>
      <c r="E49" s="380"/>
      <c r="F49" s="268"/>
      <c r="G49" s="380"/>
      <c r="H49" s="380"/>
      <c r="I49" s="341"/>
      <c r="J49" s="268"/>
      <c r="K49" s="268"/>
      <c r="L49" s="268"/>
      <c r="M49" s="268"/>
      <c r="N49" s="381"/>
      <c r="O49" s="380"/>
      <c r="P49" s="380"/>
      <c r="Q49" s="380"/>
      <c r="R49" s="382"/>
    </row>
    <row r="50" spans="2:18" ht="12.75" customHeight="1">
      <c r="B50" s="340"/>
      <c r="C50" s="268"/>
      <c r="D50" s="383"/>
      <c r="E50" s="383"/>
      <c r="F50" s="268"/>
      <c r="G50" s="268"/>
      <c r="H50" s="268"/>
      <c r="I50" s="268"/>
      <c r="J50" s="268"/>
      <c r="K50" s="268"/>
      <c r="L50" s="268"/>
      <c r="M50" s="268"/>
      <c r="N50" s="268"/>
      <c r="O50" s="268"/>
      <c r="P50" s="268"/>
      <c r="Q50" s="268"/>
      <c r="R50" s="384"/>
    </row>
    <row r="52" spans="5:26" ht="15">
      <c r="E52" s="385"/>
      <c r="F52" s="385"/>
      <c r="G52" s="385"/>
      <c r="H52" s="385"/>
      <c r="I52" s="385"/>
      <c r="J52" s="385"/>
      <c r="K52" s="385"/>
      <c r="L52" s="385"/>
      <c r="M52" s="385"/>
      <c r="N52" s="385"/>
      <c r="O52" s="385"/>
      <c r="P52" s="385"/>
      <c r="Q52" s="385"/>
      <c r="R52" s="385"/>
      <c r="S52" s="385"/>
      <c r="T52" s="385"/>
      <c r="U52" s="385"/>
      <c r="V52" s="385"/>
      <c r="W52" s="385"/>
      <c r="X52" s="385"/>
      <c r="Y52" s="385"/>
      <c r="Z52" s="385"/>
    </row>
  </sheetData>
  <sheetProtection/>
  <mergeCells count="2">
    <mergeCell ref="B2:AB2"/>
    <mergeCell ref="B45:AA4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00"/>
  </sheetPr>
  <dimension ref="A1:AC47"/>
  <sheetViews>
    <sheetView zoomScalePageLayoutView="0" workbookViewId="0" topLeftCell="A10">
      <selection activeCell="J35" sqref="J9:J35"/>
    </sheetView>
  </sheetViews>
  <sheetFormatPr defaultColWidth="9.140625" defaultRowHeight="12.75"/>
  <cols>
    <col min="1" max="1" width="2.7109375" style="120" customWidth="1"/>
    <col min="2" max="2" width="4.00390625" style="101" customWidth="1"/>
    <col min="3" max="10" width="6.7109375" style="101" customWidth="1"/>
    <col min="11" max="14" width="6.7109375" style="101" hidden="1" customWidth="1"/>
    <col min="15" max="20" width="6.7109375" style="101" customWidth="1"/>
    <col min="21" max="26" width="7.28125" style="101" customWidth="1"/>
    <col min="27" max="27" width="6.28125" style="101" customWidth="1"/>
    <col min="28" max="28" width="4.00390625" style="101" customWidth="1"/>
    <col min="30" max="16384" width="9.140625" style="101" customWidth="1"/>
  </cols>
  <sheetData>
    <row r="1" spans="2:28" ht="14.25" customHeight="1">
      <c r="B1" s="263"/>
      <c r="C1" s="264"/>
      <c r="D1" s="264"/>
      <c r="E1" s="264"/>
      <c r="F1" s="264"/>
      <c r="G1" s="264"/>
      <c r="H1" s="264"/>
      <c r="I1" s="264"/>
      <c r="J1" s="264"/>
      <c r="K1" s="264"/>
      <c r="L1" s="264"/>
      <c r="M1" s="264"/>
      <c r="N1" s="264"/>
      <c r="O1" s="264"/>
      <c r="P1" s="264"/>
      <c r="Q1" s="265"/>
      <c r="T1" s="102"/>
      <c r="U1" s="102"/>
      <c r="V1" s="102"/>
      <c r="W1" s="102"/>
      <c r="X1" s="102"/>
      <c r="Y1" s="102"/>
      <c r="Z1" s="102"/>
      <c r="AB1" s="102" t="s">
        <v>212</v>
      </c>
    </row>
    <row r="2" spans="1:29" s="268" customFormat="1" ht="30" customHeight="1">
      <c r="A2" s="386"/>
      <c r="B2" s="1083" t="s">
        <v>196</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row>
    <row r="3" spans="3:28" ht="15" customHeight="1">
      <c r="C3" s="269"/>
      <c r="D3" s="269"/>
      <c r="E3" s="269"/>
      <c r="F3" s="269"/>
      <c r="G3" s="269"/>
      <c r="H3" s="269"/>
      <c r="I3" s="269"/>
      <c r="J3" s="269"/>
      <c r="K3" s="269"/>
      <c r="L3" s="269"/>
      <c r="M3" s="269"/>
      <c r="N3" s="269"/>
      <c r="O3" s="269"/>
      <c r="P3" s="269"/>
      <c r="Q3" s="269"/>
      <c r="X3" s="269" t="s">
        <v>201</v>
      </c>
      <c r="Y3" s="269"/>
      <c r="Z3" s="269"/>
      <c r="AA3" s="270"/>
      <c r="AB3" s="269"/>
    </row>
    <row r="4" spans="2:28"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41" t="s">
        <v>159</v>
      </c>
      <c r="AB4" s="346"/>
    </row>
    <row r="5" spans="2:28" ht="9.75" customHeight="1">
      <c r="B5" s="103"/>
      <c r="C5" s="347"/>
      <c r="D5" s="347"/>
      <c r="E5" s="271"/>
      <c r="F5" s="271"/>
      <c r="G5" s="271"/>
      <c r="H5" s="271"/>
      <c r="I5" s="271"/>
      <c r="J5" s="271"/>
      <c r="K5" s="271"/>
      <c r="L5" s="271"/>
      <c r="M5" s="271"/>
      <c r="N5" s="271"/>
      <c r="O5" s="271"/>
      <c r="P5" s="271"/>
      <c r="Q5" s="271"/>
      <c r="R5" s="271"/>
      <c r="S5" s="271"/>
      <c r="T5" s="271"/>
      <c r="U5" s="271"/>
      <c r="V5" s="271"/>
      <c r="W5" s="271"/>
      <c r="X5" s="271"/>
      <c r="Y5" s="271"/>
      <c r="Z5" s="271"/>
      <c r="AA5" s="348" t="s">
        <v>160</v>
      </c>
      <c r="AB5" s="346"/>
    </row>
    <row r="6" spans="2:28" ht="12.75" customHeight="1">
      <c r="B6" s="148" t="s">
        <v>161</v>
      </c>
      <c r="C6" s="387" t="s">
        <v>100</v>
      </c>
      <c r="D6" s="387" t="s">
        <v>100</v>
      </c>
      <c r="E6" s="350" t="s">
        <v>100</v>
      </c>
      <c r="F6" s="350" t="s">
        <v>100</v>
      </c>
      <c r="G6" s="350" t="s">
        <v>100</v>
      </c>
      <c r="H6" s="350" t="s">
        <v>100</v>
      </c>
      <c r="I6" s="350" t="s">
        <v>100</v>
      </c>
      <c r="J6" s="224">
        <f aca="true" t="shared" si="0" ref="J6:T6">SUM(J9:J35)</f>
        <v>71.36643093385314</v>
      </c>
      <c r="K6" s="224">
        <f t="shared" si="0"/>
        <v>72.27156804285268</v>
      </c>
      <c r="L6" s="224">
        <f t="shared" si="0"/>
        <v>72.90307450566168</v>
      </c>
      <c r="M6" s="224">
        <f t="shared" si="0"/>
        <v>74.02691776985846</v>
      </c>
      <c r="N6" s="224">
        <f t="shared" si="0"/>
        <v>75.69833958565866</v>
      </c>
      <c r="O6" s="224">
        <f t="shared" si="0"/>
        <v>77.8844953850065</v>
      </c>
      <c r="P6" s="224">
        <f t="shared" si="0"/>
        <v>78.5421140001263</v>
      </c>
      <c r="Q6" s="224">
        <f t="shared" si="0"/>
        <v>79.7868524203022</v>
      </c>
      <c r="R6" s="224">
        <f t="shared" si="0"/>
        <v>80.08223695128947</v>
      </c>
      <c r="S6" s="224">
        <f t="shared" si="0"/>
        <v>82.76289664551508</v>
      </c>
      <c r="T6" s="224">
        <f t="shared" si="0"/>
        <v>83.34523908521771</v>
      </c>
      <c r="U6" s="224">
        <f aca="true" t="shared" si="1" ref="U6:Z6">SUM(U9:U35)</f>
        <v>85.17460764703843</v>
      </c>
      <c r="V6" s="224">
        <f t="shared" si="1"/>
        <v>87.01756304119863</v>
      </c>
      <c r="W6" s="224">
        <f t="shared" si="1"/>
        <v>90.44911654464367</v>
      </c>
      <c r="X6" s="224">
        <f t="shared" si="1"/>
        <v>90.326024763775</v>
      </c>
      <c r="Y6" s="224">
        <f t="shared" si="1"/>
        <v>91.67010317885114</v>
      </c>
      <c r="Z6" s="224">
        <f t="shared" si="1"/>
        <v>92.86779564078708</v>
      </c>
      <c r="AA6" s="388">
        <f>Z6/Y6*100-100</f>
        <v>1.3065246142454896</v>
      </c>
      <c r="AB6" s="389" t="s">
        <v>161</v>
      </c>
    </row>
    <row r="7" spans="2:28" ht="12.75" customHeight="1">
      <c r="B7" s="154" t="s">
        <v>162</v>
      </c>
      <c r="C7" s="281">
        <f>SUM(C9,C12:C13,C15,C16:C19,C23,C26:C27,C29,C33:C35)</f>
        <v>38.910000000000004</v>
      </c>
      <c r="D7" s="281">
        <f aca="true" t="shared" si="2" ref="D7:Z7">SUM(D9,D12:D13,D15,D16:D19,D23,D26:D27,D29,D33:D35)</f>
        <v>40.67</v>
      </c>
      <c r="E7" s="227">
        <f t="shared" si="2"/>
        <v>49.32144336889526</v>
      </c>
      <c r="F7" s="227">
        <f t="shared" si="2"/>
        <v>49.93738319525168</v>
      </c>
      <c r="G7" s="227">
        <f t="shared" si="2"/>
        <v>49.34032365057525</v>
      </c>
      <c r="H7" s="227">
        <f t="shared" si="2"/>
        <v>49.79658002638481</v>
      </c>
      <c r="I7" s="227">
        <f t="shared" si="2"/>
        <v>49.5743520695368</v>
      </c>
      <c r="J7" s="227">
        <f t="shared" si="2"/>
        <v>49.04754093385314</v>
      </c>
      <c r="K7" s="227">
        <f t="shared" si="2"/>
        <v>50.01926804285266</v>
      </c>
      <c r="L7" s="227">
        <f t="shared" si="2"/>
        <v>50.60617450566168</v>
      </c>
      <c r="M7" s="227">
        <f t="shared" si="2"/>
        <v>51.61265376985846</v>
      </c>
      <c r="N7" s="227">
        <f t="shared" si="2"/>
        <v>53.091897585658636</v>
      </c>
      <c r="O7" s="227">
        <f t="shared" si="2"/>
        <v>55.4060953850065</v>
      </c>
      <c r="P7" s="227">
        <f t="shared" si="2"/>
        <v>55.919451220126305</v>
      </c>
      <c r="Q7" s="227">
        <f t="shared" si="2"/>
        <v>57.17264079030221</v>
      </c>
      <c r="R7" s="227">
        <f t="shared" si="2"/>
        <v>57.52551635128948</v>
      </c>
      <c r="S7" s="227">
        <f t="shared" si="2"/>
        <v>59.77601487551511</v>
      </c>
      <c r="T7" s="227">
        <f t="shared" si="2"/>
        <v>60.892913545217716</v>
      </c>
      <c r="U7" s="227">
        <f t="shared" si="2"/>
        <v>62.65448164703846</v>
      </c>
      <c r="V7" s="227">
        <f t="shared" si="2"/>
        <v>64.29042504119865</v>
      </c>
      <c r="W7" s="227">
        <f t="shared" si="2"/>
        <v>66.18383214464366</v>
      </c>
      <c r="X7" s="227">
        <f t="shared" si="2"/>
        <v>66.221498863775</v>
      </c>
      <c r="Y7" s="227">
        <f t="shared" si="2"/>
        <v>67.31644998107508</v>
      </c>
      <c r="Z7" s="227">
        <f t="shared" si="2"/>
        <v>68.81236507346028</v>
      </c>
      <c r="AA7" s="390">
        <f aca="true" t="shared" si="3" ref="AA7:AA41">Z7/Y7*100-100</f>
        <v>2.2222132819032367</v>
      </c>
      <c r="AB7" s="391" t="s">
        <v>162</v>
      </c>
    </row>
    <row r="8" spans="2:28" ht="12.75" customHeight="1">
      <c r="B8" s="156" t="s">
        <v>163</v>
      </c>
      <c r="C8" s="285"/>
      <c r="D8" s="285"/>
      <c r="E8" s="230"/>
      <c r="F8" s="230"/>
      <c r="G8" s="230"/>
      <c r="H8" s="230"/>
      <c r="I8" s="230"/>
      <c r="J8" s="230">
        <f>J6-J7</f>
        <v>22.318889999999996</v>
      </c>
      <c r="K8" s="230">
        <f aca="true" t="shared" si="4" ref="K8:Z8">K6-K7</f>
        <v>22.25230000000002</v>
      </c>
      <c r="L8" s="230">
        <f t="shared" si="4"/>
        <v>22.2969</v>
      </c>
      <c r="M8" s="230">
        <f t="shared" si="4"/>
        <v>22.414263999999996</v>
      </c>
      <c r="N8" s="230">
        <f t="shared" si="4"/>
        <v>22.606442000000023</v>
      </c>
      <c r="O8" s="230">
        <f t="shared" si="4"/>
        <v>22.4784</v>
      </c>
      <c r="P8" s="230">
        <f t="shared" si="4"/>
        <v>22.62266278</v>
      </c>
      <c r="Q8" s="230">
        <f t="shared" si="4"/>
        <v>22.614211629999986</v>
      </c>
      <c r="R8" s="230">
        <f t="shared" si="4"/>
        <v>22.55672059999999</v>
      </c>
      <c r="S8" s="230">
        <f t="shared" si="4"/>
        <v>22.986881769999975</v>
      </c>
      <c r="T8" s="230">
        <f t="shared" si="4"/>
        <v>22.452325539999997</v>
      </c>
      <c r="U8" s="230">
        <f t="shared" si="4"/>
        <v>22.52012599999997</v>
      </c>
      <c r="V8" s="230">
        <f t="shared" si="4"/>
        <v>22.727137999999982</v>
      </c>
      <c r="W8" s="230">
        <f t="shared" si="4"/>
        <v>24.265284400000013</v>
      </c>
      <c r="X8" s="230">
        <f t="shared" si="4"/>
        <v>24.1045259</v>
      </c>
      <c r="Y8" s="230">
        <f t="shared" si="4"/>
        <v>24.353653197776055</v>
      </c>
      <c r="Z8" s="230">
        <f t="shared" si="4"/>
        <v>24.055430567326795</v>
      </c>
      <c r="AA8" s="392">
        <f t="shared" si="3"/>
        <v>-1.2245498777016905</v>
      </c>
      <c r="AB8" s="156" t="s">
        <v>163</v>
      </c>
    </row>
    <row r="9" spans="2:28" ht="12.75" customHeight="1">
      <c r="B9" s="107" t="s">
        <v>61</v>
      </c>
      <c r="C9" s="286">
        <v>0.86</v>
      </c>
      <c r="D9" s="286">
        <v>0.77</v>
      </c>
      <c r="E9" s="240">
        <v>0.74</v>
      </c>
      <c r="F9" s="240">
        <v>0.75</v>
      </c>
      <c r="G9" s="240">
        <v>0.76</v>
      </c>
      <c r="H9" s="240">
        <v>0.77</v>
      </c>
      <c r="I9" s="240">
        <v>0.79</v>
      </c>
      <c r="J9" s="240">
        <v>0.8</v>
      </c>
      <c r="K9" s="240">
        <v>0.81</v>
      </c>
      <c r="L9" s="240">
        <v>0.82</v>
      </c>
      <c r="M9" s="240">
        <v>0.82</v>
      </c>
      <c r="N9" s="240">
        <v>0.82</v>
      </c>
      <c r="O9" s="240">
        <v>0.87</v>
      </c>
      <c r="P9" s="240">
        <v>0.876</v>
      </c>
      <c r="Q9" s="233">
        <v>0.89</v>
      </c>
      <c r="R9" s="233">
        <v>0.9</v>
      </c>
      <c r="S9" s="233">
        <v>0.91</v>
      </c>
      <c r="T9" s="233">
        <v>0.93</v>
      </c>
      <c r="U9" s="233">
        <v>0.95</v>
      </c>
      <c r="V9" s="233">
        <v>0.97</v>
      </c>
      <c r="W9" s="233">
        <v>1</v>
      </c>
      <c r="X9" s="233">
        <v>1</v>
      </c>
      <c r="Y9" s="233">
        <v>1.07</v>
      </c>
      <c r="Z9" s="233">
        <f>Y9*329.9/311.6</f>
        <v>1.1328401797175867</v>
      </c>
      <c r="AA9" s="287">
        <f t="shared" si="3"/>
        <v>5.872913992297811</v>
      </c>
      <c r="AB9" s="110" t="s">
        <v>61</v>
      </c>
    </row>
    <row r="10" spans="2:28" ht="12.75" customHeight="1">
      <c r="B10" s="154" t="s">
        <v>102</v>
      </c>
      <c r="C10" s="288"/>
      <c r="D10" s="288"/>
      <c r="E10" s="235">
        <v>0.586</v>
      </c>
      <c r="F10" s="235">
        <v>0.454</v>
      </c>
      <c r="G10" s="235">
        <v>0.524</v>
      </c>
      <c r="H10" s="235">
        <v>0.283</v>
      </c>
      <c r="I10" s="235">
        <v>0.25</v>
      </c>
      <c r="J10" s="235">
        <v>0.283</v>
      </c>
      <c r="K10" s="235">
        <v>0.296</v>
      </c>
      <c r="L10" s="311">
        <v>0.308</v>
      </c>
      <c r="M10" s="235">
        <v>0.444</v>
      </c>
      <c r="N10" s="235">
        <v>0.46</v>
      </c>
      <c r="O10" s="235">
        <v>0.419</v>
      </c>
      <c r="P10" s="235">
        <v>0.469</v>
      </c>
      <c r="Q10" s="235">
        <v>0.436</v>
      </c>
      <c r="R10" s="235">
        <v>0.486</v>
      </c>
      <c r="S10" s="235">
        <v>0.44</v>
      </c>
      <c r="T10" s="235">
        <v>0.434</v>
      </c>
      <c r="U10" s="235">
        <v>0.446</v>
      </c>
      <c r="V10" s="235">
        <v>0.443</v>
      </c>
      <c r="W10" s="235">
        <v>0.486</v>
      </c>
      <c r="X10" s="235">
        <v>0.688</v>
      </c>
      <c r="Y10" s="235">
        <f>0.909</f>
        <v>0.909</v>
      </c>
      <c r="Z10" s="235">
        <v>0.872</v>
      </c>
      <c r="AA10" s="303">
        <f t="shared" si="3"/>
        <v>-4.070407040704069</v>
      </c>
      <c r="AB10" s="154" t="s">
        <v>102</v>
      </c>
    </row>
    <row r="11" spans="1:29" s="214" customFormat="1" ht="12.75" customHeight="1">
      <c r="A11" s="290"/>
      <c r="B11" s="107" t="s">
        <v>62</v>
      </c>
      <c r="C11" s="357"/>
      <c r="D11" s="357"/>
      <c r="E11" s="236"/>
      <c r="F11" s="236"/>
      <c r="G11" s="236"/>
      <c r="H11" s="236" t="s">
        <v>100</v>
      </c>
      <c r="I11" s="236" t="s">
        <v>100</v>
      </c>
      <c r="J11" s="236">
        <v>7.688</v>
      </c>
      <c r="K11" s="236">
        <v>7.791</v>
      </c>
      <c r="L11" s="236">
        <v>7.863</v>
      </c>
      <c r="M11" s="236">
        <v>7.855</v>
      </c>
      <c r="N11" s="236">
        <v>8.154</v>
      </c>
      <c r="O11" s="236">
        <v>8.068</v>
      </c>
      <c r="P11" s="236">
        <v>8.227</v>
      </c>
      <c r="Q11" s="236">
        <v>8.307</v>
      </c>
      <c r="R11" s="236">
        <v>8.5634</v>
      </c>
      <c r="S11" s="236">
        <f>4.8847+3.8408</f>
        <v>8.7255</v>
      </c>
      <c r="T11" s="236">
        <f>4.769+3.1652</f>
        <v>7.934200000000001</v>
      </c>
      <c r="U11" s="236">
        <f>4.5344+3.2644</f>
        <v>7.7988</v>
      </c>
      <c r="V11" s="236">
        <f>4.4489+3.3015</f>
        <v>7.7504</v>
      </c>
      <c r="W11" s="236">
        <f>4.678+4.4648</f>
        <v>9.142800000000001</v>
      </c>
      <c r="X11" s="236">
        <v>8.9867</v>
      </c>
      <c r="Y11" s="236">
        <f>4.624+4.373</f>
        <v>8.997</v>
      </c>
      <c r="Z11" s="236">
        <f>4.461+4.255</f>
        <v>8.716000000000001</v>
      </c>
      <c r="AA11" s="316">
        <f t="shared" si="3"/>
        <v>-3.123263309992211</v>
      </c>
      <c r="AB11" s="107" t="s">
        <v>62</v>
      </c>
      <c r="AC11"/>
    </row>
    <row r="12" spans="2:28" ht="12.75" customHeight="1">
      <c r="B12" s="154" t="s">
        <v>14</v>
      </c>
      <c r="C12" s="393" t="s">
        <v>158</v>
      </c>
      <c r="D12" s="393" t="s">
        <v>158</v>
      </c>
      <c r="E12" s="242" t="s">
        <v>158</v>
      </c>
      <c r="F12" s="242" t="s">
        <v>158</v>
      </c>
      <c r="G12" s="242" t="s">
        <v>158</v>
      </c>
      <c r="H12" s="242" t="s">
        <v>158</v>
      </c>
      <c r="I12" s="242" t="s">
        <v>158</v>
      </c>
      <c r="J12" s="242" t="s">
        <v>158</v>
      </c>
      <c r="K12" s="242" t="s">
        <v>158</v>
      </c>
      <c r="L12" s="242" t="s">
        <v>158</v>
      </c>
      <c r="M12" s="242" t="s">
        <v>158</v>
      </c>
      <c r="N12" s="242" t="s">
        <v>158</v>
      </c>
      <c r="O12" s="242" t="s">
        <v>158</v>
      </c>
      <c r="P12" s="242" t="s">
        <v>158</v>
      </c>
      <c r="Q12" s="235">
        <v>0.009</v>
      </c>
      <c r="R12" s="235">
        <v>0.067</v>
      </c>
      <c r="S12" s="235">
        <v>0.128</v>
      </c>
      <c r="T12" s="235">
        <v>0.162</v>
      </c>
      <c r="U12" s="235">
        <v>0.164</v>
      </c>
      <c r="V12" s="235">
        <v>0.177</v>
      </c>
      <c r="W12" s="235">
        <v>0.195</v>
      </c>
      <c r="X12" s="235">
        <v>0.215</v>
      </c>
      <c r="Y12" s="235">
        <f>0.239</f>
        <v>0.239</v>
      </c>
      <c r="Z12" s="235">
        <v>0.278</v>
      </c>
      <c r="AA12" s="303">
        <f t="shared" si="3"/>
        <v>16.317991631799188</v>
      </c>
      <c r="AB12" s="154" t="s">
        <v>14</v>
      </c>
    </row>
    <row r="13" spans="1:29" s="214" customFormat="1" ht="12.75" customHeight="1">
      <c r="A13" s="290"/>
      <c r="B13" s="107" t="s">
        <v>64</v>
      </c>
      <c r="C13" s="359">
        <v>14.63</v>
      </c>
      <c r="D13" s="359">
        <v>13.84</v>
      </c>
      <c r="E13" s="243">
        <v>15.1</v>
      </c>
      <c r="F13" s="243">
        <v>15.14</v>
      </c>
      <c r="G13" s="243">
        <v>14.43</v>
      </c>
      <c r="H13" s="243">
        <v>14.62</v>
      </c>
      <c r="I13" s="243">
        <v>14.47</v>
      </c>
      <c r="J13" s="243">
        <v>14.43</v>
      </c>
      <c r="K13" s="243">
        <v>14.47</v>
      </c>
      <c r="L13" s="243">
        <v>14.5</v>
      </c>
      <c r="M13" s="243">
        <v>14.4</v>
      </c>
      <c r="N13" s="243">
        <v>14.5</v>
      </c>
      <c r="O13" s="243">
        <v>14.6</v>
      </c>
      <c r="P13" s="243">
        <v>14.7</v>
      </c>
      <c r="Q13" s="236">
        <v>14.74</v>
      </c>
      <c r="R13" s="236">
        <v>14.75</v>
      </c>
      <c r="S13" s="236">
        <v>14.986</v>
      </c>
      <c r="T13" s="236">
        <v>15.485</v>
      </c>
      <c r="U13" s="236">
        <v>15.568</v>
      </c>
      <c r="V13" s="236">
        <v>15.92</v>
      </c>
      <c r="W13" s="236">
        <v>15.991</v>
      </c>
      <c r="X13" s="236">
        <v>16.496</v>
      </c>
      <c r="Y13" s="236">
        <f>16.349</f>
        <v>16.349</v>
      </c>
      <c r="Z13" s="236">
        <v>16.6</v>
      </c>
      <c r="AA13" s="316">
        <f t="shared" si="3"/>
        <v>1.5352620955410288</v>
      </c>
      <c r="AB13" s="107" t="s">
        <v>64</v>
      </c>
      <c r="AC13"/>
    </row>
    <row r="14" spans="2:28" ht="12.75" customHeight="1">
      <c r="B14" s="154" t="s">
        <v>65</v>
      </c>
      <c r="C14" s="288" t="s">
        <v>100</v>
      </c>
      <c r="D14" s="288" t="s">
        <v>100</v>
      </c>
      <c r="E14" s="235" t="s">
        <v>100</v>
      </c>
      <c r="F14" s="235" t="s">
        <v>100</v>
      </c>
      <c r="G14" s="235" t="s">
        <v>100</v>
      </c>
      <c r="H14" s="235" t="s">
        <v>100</v>
      </c>
      <c r="I14" s="235" t="s">
        <v>100</v>
      </c>
      <c r="J14" s="234">
        <f>0.0352*3</f>
        <v>0.1056</v>
      </c>
      <c r="K14" s="234">
        <f>0.0356*3</f>
        <v>0.1068</v>
      </c>
      <c r="L14" s="234">
        <f>0.0369*3</f>
        <v>0.1107</v>
      </c>
      <c r="M14" s="234">
        <f>0.0306*3</f>
        <v>0.09179999999999999</v>
      </c>
      <c r="N14" s="234">
        <f>0.0293*3</f>
        <v>0.0879</v>
      </c>
      <c r="O14" s="234">
        <f>0.0349*3</f>
        <v>0.1047</v>
      </c>
      <c r="P14" s="234">
        <f>0.0292*3</f>
        <v>0.0876</v>
      </c>
      <c r="Q14" s="234">
        <f>0.0308*3</f>
        <v>0.09240000000000001</v>
      </c>
      <c r="R14" s="234">
        <f>0.0311*3</f>
        <v>0.0933</v>
      </c>
      <c r="S14" s="234">
        <f>0.0278*3</f>
        <v>0.0834</v>
      </c>
      <c r="T14" s="234">
        <f>0.0251*3</f>
        <v>0.0753</v>
      </c>
      <c r="U14" s="234">
        <f>0.0262*3</f>
        <v>0.0786</v>
      </c>
      <c r="V14" s="234">
        <f>0.0264*3</f>
        <v>0.07919999999999999</v>
      </c>
      <c r="W14" s="234">
        <f>0.0253*3</f>
        <v>0.0759</v>
      </c>
      <c r="X14" s="234">
        <f>0.0251*3</f>
        <v>0.0753</v>
      </c>
      <c r="Y14" s="234">
        <f>0.0245*3</f>
        <v>0.07350000000000001</v>
      </c>
      <c r="Z14" s="234">
        <f>0.0221*3</f>
        <v>0.0663</v>
      </c>
      <c r="AA14" s="289">
        <f t="shared" si="3"/>
        <v>-9.795918367346957</v>
      </c>
      <c r="AB14" s="154" t="s">
        <v>65</v>
      </c>
    </row>
    <row r="15" spans="2:28" ht="12.75" customHeight="1">
      <c r="B15" s="107" t="s">
        <v>69</v>
      </c>
      <c r="C15" s="394" t="s">
        <v>158</v>
      </c>
      <c r="D15" s="394" t="s">
        <v>158</v>
      </c>
      <c r="E15" s="245" t="s">
        <v>158</v>
      </c>
      <c r="F15" s="245" t="s">
        <v>158</v>
      </c>
      <c r="G15" s="245" t="s">
        <v>158</v>
      </c>
      <c r="H15" s="245" t="s">
        <v>158</v>
      </c>
      <c r="I15" s="245" t="s">
        <v>158</v>
      </c>
      <c r="J15" s="245" t="s">
        <v>158</v>
      </c>
      <c r="K15" s="245" t="s">
        <v>158</v>
      </c>
      <c r="L15" s="245" t="s">
        <v>158</v>
      </c>
      <c r="M15" s="245" t="s">
        <v>158</v>
      </c>
      <c r="N15" s="245" t="s">
        <v>158</v>
      </c>
      <c r="O15" s="245" t="s">
        <v>158</v>
      </c>
      <c r="P15" s="245" t="s">
        <v>158</v>
      </c>
      <c r="Q15" s="245" t="s">
        <v>158</v>
      </c>
      <c r="R15" s="245" t="s">
        <v>158</v>
      </c>
      <c r="S15" s="233">
        <v>0.05</v>
      </c>
      <c r="T15" s="233">
        <v>0.11</v>
      </c>
      <c r="U15" s="240">
        <f>0.06713+0.04598</f>
        <v>0.11310999999999999</v>
      </c>
      <c r="V15" s="240">
        <f>0.107+0.068</f>
        <v>0.175</v>
      </c>
      <c r="W15" s="240">
        <f>0.083+0.058</f>
        <v>0.14100000000000001</v>
      </c>
      <c r="X15" s="240">
        <f>0.079+0.053</f>
        <v>0.132</v>
      </c>
      <c r="Y15" s="240">
        <f>0.069+0.062</f>
        <v>0.131</v>
      </c>
      <c r="Z15" s="240">
        <f>0.073+0.065</f>
        <v>0.138</v>
      </c>
      <c r="AA15" s="302">
        <f t="shared" si="3"/>
        <v>5.343511450381683</v>
      </c>
      <c r="AB15" s="107" t="s">
        <v>69</v>
      </c>
    </row>
    <row r="16" spans="2:28" ht="12.75" customHeight="1">
      <c r="B16" s="154" t="s">
        <v>15</v>
      </c>
      <c r="C16" s="300">
        <v>0.63</v>
      </c>
      <c r="D16" s="300">
        <v>0.68</v>
      </c>
      <c r="E16" s="234">
        <v>0.83</v>
      </c>
      <c r="F16" s="234">
        <v>0.81</v>
      </c>
      <c r="G16" s="234">
        <v>0.79</v>
      </c>
      <c r="H16" s="234">
        <v>0.77</v>
      </c>
      <c r="I16" s="234">
        <v>0.72</v>
      </c>
      <c r="J16" s="234">
        <v>0.74</v>
      </c>
      <c r="K16" s="234">
        <v>0.74</v>
      </c>
      <c r="L16" s="234">
        <v>0.75</v>
      </c>
      <c r="M16" s="234">
        <v>0.8</v>
      </c>
      <c r="N16" s="234">
        <v>0.81</v>
      </c>
      <c r="O16" s="234">
        <v>1.19</v>
      </c>
      <c r="P16" s="234">
        <v>1.33</v>
      </c>
      <c r="Q16" s="234">
        <v>1.35</v>
      </c>
      <c r="R16" s="234">
        <v>1.4</v>
      </c>
      <c r="S16" s="234">
        <v>1.5</v>
      </c>
      <c r="T16" s="234">
        <v>1.5</v>
      </c>
      <c r="U16" s="234">
        <v>1.55</v>
      </c>
      <c r="V16" s="234">
        <v>1.6</v>
      </c>
      <c r="W16" s="234">
        <v>1.66</v>
      </c>
      <c r="X16" s="234">
        <v>1.671</v>
      </c>
      <c r="Y16" s="234">
        <v>1.692746498280652</v>
      </c>
      <c r="Z16" s="234">
        <f>AVERAGE(W16:Y16)</f>
        <v>1.6745821660935505</v>
      </c>
      <c r="AA16" s="289">
        <f t="shared" si="3"/>
        <v>-1.0730686612290299</v>
      </c>
      <c r="AB16" s="154" t="s">
        <v>15</v>
      </c>
    </row>
    <row r="17" spans="2:28" ht="12.75" customHeight="1">
      <c r="B17" s="107" t="s">
        <v>67</v>
      </c>
      <c r="C17" s="286">
        <v>3.67</v>
      </c>
      <c r="D17" s="286">
        <v>3.88</v>
      </c>
      <c r="E17" s="240">
        <v>4.38</v>
      </c>
      <c r="F17" s="240">
        <v>4.3</v>
      </c>
      <c r="G17" s="240">
        <v>4.25</v>
      </c>
      <c r="H17" s="240">
        <v>4.2</v>
      </c>
      <c r="I17" s="240">
        <v>4.15</v>
      </c>
      <c r="J17" s="240">
        <v>4.25</v>
      </c>
      <c r="K17" s="240">
        <v>4.49</v>
      </c>
      <c r="L17" s="240">
        <v>4.57</v>
      </c>
      <c r="M17" s="240">
        <v>4.84</v>
      </c>
      <c r="N17" s="233">
        <v>5.06</v>
      </c>
      <c r="O17" s="233">
        <v>5.23</v>
      </c>
      <c r="P17" s="233">
        <v>5.34</v>
      </c>
      <c r="Q17" s="233">
        <v>5.5</v>
      </c>
      <c r="R17" s="233">
        <v>5.6</v>
      </c>
      <c r="S17" s="233">
        <v>5.8</v>
      </c>
      <c r="T17" s="233">
        <v>6</v>
      </c>
      <c r="U17" s="233">
        <v>6.2</v>
      </c>
      <c r="V17" s="233">
        <v>6.4</v>
      </c>
      <c r="W17" s="233">
        <v>6.5</v>
      </c>
      <c r="X17" s="233">
        <v>6.2725</v>
      </c>
      <c r="Y17" s="233">
        <f>6.25</f>
        <v>6.25</v>
      </c>
      <c r="Z17" s="233">
        <v>6.3428</v>
      </c>
      <c r="AA17" s="287">
        <f t="shared" si="3"/>
        <v>1.4847999999999928</v>
      </c>
      <c r="AB17" s="107" t="s">
        <v>67</v>
      </c>
    </row>
    <row r="18" spans="2:28" ht="12.75" customHeight="1">
      <c r="B18" s="154" t="s">
        <v>68</v>
      </c>
      <c r="C18" s="288">
        <v>6.5</v>
      </c>
      <c r="D18" s="395">
        <v>7.7</v>
      </c>
      <c r="E18" s="320">
        <v>10.476443368895263</v>
      </c>
      <c r="F18" s="235">
        <v>10.233383195251669</v>
      </c>
      <c r="G18" s="235">
        <v>10.414323650575252</v>
      </c>
      <c r="H18" s="235">
        <v>10.37918002638481</v>
      </c>
      <c r="I18" s="235">
        <v>10.453352069536807</v>
      </c>
      <c r="J18" s="235">
        <v>9.327340933853145</v>
      </c>
      <c r="K18" s="235">
        <v>9.818268042852674</v>
      </c>
      <c r="L18" s="235">
        <v>10.054374505661677</v>
      </c>
      <c r="M18" s="235">
        <v>10.475653769858466</v>
      </c>
      <c r="N18" s="235">
        <v>10.935597585658641</v>
      </c>
      <c r="O18" s="235">
        <v>11.552395385006502</v>
      </c>
      <c r="P18" s="235">
        <v>11.641851220126304</v>
      </c>
      <c r="Q18" s="235">
        <v>12.347140790302205</v>
      </c>
      <c r="R18" s="235">
        <v>12.153216351289489</v>
      </c>
      <c r="S18" s="235">
        <v>13.148014875515091</v>
      </c>
      <c r="T18" s="235">
        <v>13.327197545217711</v>
      </c>
      <c r="U18" s="235">
        <v>13.68957164703845</v>
      </c>
      <c r="V18" s="235">
        <v>13.686135041198632</v>
      </c>
      <c r="W18" s="235">
        <v>14.539071144643675</v>
      </c>
      <c r="X18" s="235">
        <v>14.37481486377499</v>
      </c>
      <c r="Y18" s="235">
        <v>14.698168545440868</v>
      </c>
      <c r="Z18" s="235">
        <v>15.015286050531287</v>
      </c>
      <c r="AA18" s="303">
        <f t="shared" si="3"/>
        <v>2.157530743439338</v>
      </c>
      <c r="AB18" s="154" t="s">
        <v>68</v>
      </c>
    </row>
    <row r="19" spans="1:29" s="214" customFormat="1" ht="12.75" customHeight="1">
      <c r="A19" s="290"/>
      <c r="B19" s="107" t="s">
        <v>70</v>
      </c>
      <c r="C19" s="357">
        <v>2.21</v>
      </c>
      <c r="D19" s="357">
        <v>3.66</v>
      </c>
      <c r="E19" s="236">
        <f>2.58+1.629</f>
        <v>4.209</v>
      </c>
      <c r="F19" s="236">
        <v>5.328</v>
      </c>
      <c r="G19" s="236">
        <v>5.4</v>
      </c>
      <c r="H19" s="236">
        <v>5.5</v>
      </c>
      <c r="I19" s="236">
        <v>5.1</v>
      </c>
      <c r="J19" s="236">
        <f>4.038+1.1136</f>
        <v>5.1516</v>
      </c>
      <c r="K19" s="236">
        <v>5.282</v>
      </c>
      <c r="L19" s="236">
        <v>5.319</v>
      </c>
      <c r="M19" s="236">
        <v>5.251</v>
      </c>
      <c r="N19" s="236">
        <f>4.167+1.072</f>
        <v>5.239</v>
      </c>
      <c r="O19" s="236">
        <f>4.503+1.1057</f>
        <v>5.6087</v>
      </c>
      <c r="P19" s="236">
        <f>4.506+1.083</f>
        <v>5.589</v>
      </c>
      <c r="Q19" s="236">
        <f>4.843+1.042</f>
        <v>5.885</v>
      </c>
      <c r="R19" s="236">
        <f>4.935+1.05</f>
        <v>5.984999999999999</v>
      </c>
      <c r="S19" s="236">
        <f>4.954+1.051</f>
        <v>6.005</v>
      </c>
      <c r="T19" s="236">
        <f>4.982+1.053</f>
        <v>6.035</v>
      </c>
      <c r="U19" s="236">
        <f>5.204+1.075</f>
        <v>6.279</v>
      </c>
      <c r="V19" s="236">
        <f>5.637+1.088</f>
        <v>6.725</v>
      </c>
      <c r="W19" s="236">
        <f>5.777+1.107</f>
        <v>6.884</v>
      </c>
      <c r="X19" s="236">
        <f>1.108+5.84</f>
        <v>6.948</v>
      </c>
      <c r="Y19" s="236">
        <f>5.984+1.135</f>
        <v>7.119</v>
      </c>
      <c r="Z19" s="236">
        <f>5.982+1.134</f>
        <v>7.116</v>
      </c>
      <c r="AA19" s="316">
        <f t="shared" si="3"/>
        <v>-0.04214075010536078</v>
      </c>
      <c r="AB19" s="107" t="s">
        <v>70</v>
      </c>
      <c r="AC19"/>
    </row>
    <row r="20" spans="2:28" ht="12.75" customHeight="1">
      <c r="B20" s="154" t="s">
        <v>72</v>
      </c>
      <c r="C20" s="393" t="s">
        <v>158</v>
      </c>
      <c r="D20" s="393" t="s">
        <v>158</v>
      </c>
      <c r="E20" s="242" t="s">
        <v>158</v>
      </c>
      <c r="F20" s="242" t="s">
        <v>158</v>
      </c>
      <c r="G20" s="242" t="s">
        <v>158</v>
      </c>
      <c r="H20" s="242" t="s">
        <v>158</v>
      </c>
      <c r="I20" s="242" t="s">
        <v>158</v>
      </c>
      <c r="J20" s="242" t="s">
        <v>158</v>
      </c>
      <c r="K20" s="242" t="s">
        <v>158</v>
      </c>
      <c r="L20" s="242" t="s">
        <v>158</v>
      </c>
      <c r="M20" s="242" t="s">
        <v>158</v>
      </c>
      <c r="N20" s="242" t="s">
        <v>158</v>
      </c>
      <c r="O20" s="242" t="s">
        <v>158</v>
      </c>
      <c r="P20" s="242" t="s">
        <v>158</v>
      </c>
      <c r="Q20" s="242" t="s">
        <v>158</v>
      </c>
      <c r="R20" s="242" t="s">
        <v>158</v>
      </c>
      <c r="S20" s="242" t="s">
        <v>158</v>
      </c>
      <c r="T20" s="242" t="s">
        <v>158</v>
      </c>
      <c r="U20" s="242" t="s">
        <v>158</v>
      </c>
      <c r="V20" s="242" t="s">
        <v>158</v>
      </c>
      <c r="W20" s="242" t="s">
        <v>158</v>
      </c>
      <c r="X20" s="242" t="s">
        <v>158</v>
      </c>
      <c r="Y20" s="242" t="s">
        <v>158</v>
      </c>
      <c r="Z20" s="242">
        <v>0</v>
      </c>
      <c r="AA20" s="396" t="s">
        <v>158</v>
      </c>
      <c r="AB20" s="154" t="s">
        <v>72</v>
      </c>
    </row>
    <row r="21" spans="1:29" s="214" customFormat="1" ht="12.75" customHeight="1">
      <c r="A21" s="290"/>
      <c r="B21" s="107" t="s">
        <v>73</v>
      </c>
      <c r="C21" s="357" t="s">
        <v>100</v>
      </c>
      <c r="D21" s="357" t="s">
        <v>100</v>
      </c>
      <c r="E21" s="243">
        <f>0.2431*3</f>
        <v>0.7293000000000001</v>
      </c>
      <c r="F21" s="243">
        <f>0.2516*3</f>
        <v>0.7547999999999999</v>
      </c>
      <c r="G21" s="243">
        <f>0.1937*3</f>
        <v>0.5811000000000001</v>
      </c>
      <c r="H21" s="243">
        <f>0.1149*3</f>
        <v>0.3447</v>
      </c>
      <c r="I21" s="243">
        <f>0.1128*3</f>
        <v>0.3384</v>
      </c>
      <c r="J21" s="243">
        <f>0.1012*3</f>
        <v>0.3036</v>
      </c>
      <c r="K21" s="243">
        <f>0.0795*3</f>
        <v>0.2385</v>
      </c>
      <c r="L21" s="243">
        <f>0.0884*3</f>
        <v>0.2652</v>
      </c>
      <c r="M21" s="243">
        <f>0.098*3</f>
        <v>0.29400000000000004</v>
      </c>
      <c r="N21" s="243">
        <f>0.0938*3</f>
        <v>0.2814</v>
      </c>
      <c r="O21" s="243">
        <f>0.0889*3</f>
        <v>0.26670000000000005</v>
      </c>
      <c r="P21" s="243">
        <f>0.0869*3</f>
        <v>0.26070000000000004</v>
      </c>
      <c r="Q21" s="243">
        <f>0.0882*3</f>
        <v>0.2646</v>
      </c>
      <c r="R21" s="243">
        <f>0.0846*3</f>
        <v>0.25379999999999997</v>
      </c>
      <c r="S21" s="243">
        <f>0.0879*3</f>
        <v>0.26370000000000005</v>
      </c>
      <c r="T21" s="243">
        <f>0.0909*3</f>
        <v>0.2727</v>
      </c>
      <c r="U21" s="243">
        <f>0.0931*3</f>
        <v>0.2793</v>
      </c>
      <c r="V21" s="243">
        <f>0.0932*3</f>
        <v>0.2796</v>
      </c>
      <c r="W21" s="243">
        <f>0.0861*3</f>
        <v>0.2583</v>
      </c>
      <c r="X21" s="397">
        <f>0.057*3</f>
        <v>0.171</v>
      </c>
      <c r="Y21" s="243">
        <f>0.041*3</f>
        <v>0.123</v>
      </c>
      <c r="Z21" s="243">
        <f>0.0416*3</f>
        <v>0.1248</v>
      </c>
      <c r="AA21" s="299">
        <f t="shared" si="3"/>
        <v>1.4634146341463463</v>
      </c>
      <c r="AB21" s="107" t="s">
        <v>73</v>
      </c>
      <c r="AC21"/>
    </row>
    <row r="22" spans="2:28" ht="12.75" customHeight="1">
      <c r="B22" s="154" t="s">
        <v>74</v>
      </c>
      <c r="C22" s="393" t="s">
        <v>158</v>
      </c>
      <c r="D22" s="393" t="s">
        <v>158</v>
      </c>
      <c r="E22" s="242" t="s">
        <v>158</v>
      </c>
      <c r="F22" s="242" t="s">
        <v>158</v>
      </c>
      <c r="G22" s="242" t="s">
        <v>158</v>
      </c>
      <c r="H22" s="242" t="s">
        <v>158</v>
      </c>
      <c r="I22" s="242" t="s">
        <v>158</v>
      </c>
      <c r="J22" s="242" t="s">
        <v>158</v>
      </c>
      <c r="K22" s="242" t="s">
        <v>158</v>
      </c>
      <c r="L22" s="242" t="s">
        <v>158</v>
      </c>
      <c r="M22" s="242" t="s">
        <v>158</v>
      </c>
      <c r="N22" s="242" t="s">
        <v>158</v>
      </c>
      <c r="O22" s="242" t="s">
        <v>158</v>
      </c>
      <c r="P22" s="242" t="s">
        <v>158</v>
      </c>
      <c r="Q22" s="242" t="s">
        <v>158</v>
      </c>
      <c r="R22" s="242" t="s">
        <v>158</v>
      </c>
      <c r="S22" s="242" t="s">
        <v>158</v>
      </c>
      <c r="T22" s="242" t="s">
        <v>158</v>
      </c>
      <c r="U22" s="242" t="s">
        <v>158</v>
      </c>
      <c r="V22" s="242" t="s">
        <v>158</v>
      </c>
      <c r="W22" s="242" t="s">
        <v>158</v>
      </c>
      <c r="X22" s="242" t="s">
        <v>158</v>
      </c>
      <c r="Y22" s="242" t="s">
        <v>158</v>
      </c>
      <c r="Z22" s="242">
        <v>0</v>
      </c>
      <c r="AA22" s="396" t="s">
        <v>158</v>
      </c>
      <c r="AB22" s="154" t="s">
        <v>74</v>
      </c>
    </row>
    <row r="23" spans="1:29" s="214" customFormat="1" ht="12.75" customHeight="1">
      <c r="A23" s="290"/>
      <c r="B23" s="107" t="s">
        <v>77</v>
      </c>
      <c r="C23" s="398" t="s">
        <v>158</v>
      </c>
      <c r="D23" s="398" t="s">
        <v>158</v>
      </c>
      <c r="E23" s="244" t="s">
        <v>158</v>
      </c>
      <c r="F23" s="244" t="s">
        <v>158</v>
      </c>
      <c r="G23" s="244" t="s">
        <v>158</v>
      </c>
      <c r="H23" s="244" t="s">
        <v>158</v>
      </c>
      <c r="I23" s="244" t="s">
        <v>158</v>
      </c>
      <c r="J23" s="244" t="s">
        <v>158</v>
      </c>
      <c r="K23" s="244" t="s">
        <v>158</v>
      </c>
      <c r="L23" s="244" t="s">
        <v>158</v>
      </c>
      <c r="M23" s="244" t="s">
        <v>158</v>
      </c>
      <c r="N23" s="244" t="s">
        <v>158</v>
      </c>
      <c r="O23" s="244" t="s">
        <v>158</v>
      </c>
      <c r="P23" s="244" t="s">
        <v>158</v>
      </c>
      <c r="Q23" s="244" t="s">
        <v>158</v>
      </c>
      <c r="R23" s="244" t="s">
        <v>158</v>
      </c>
      <c r="S23" s="244" t="s">
        <v>158</v>
      </c>
      <c r="T23" s="244" t="s">
        <v>158</v>
      </c>
      <c r="U23" s="244" t="s">
        <v>158</v>
      </c>
      <c r="V23" s="244" t="s">
        <v>158</v>
      </c>
      <c r="W23" s="244" t="s">
        <v>158</v>
      </c>
      <c r="X23" s="244" t="s">
        <v>158</v>
      </c>
      <c r="Y23" s="244" t="s">
        <v>158</v>
      </c>
      <c r="Z23" s="244">
        <v>0</v>
      </c>
      <c r="AA23" s="399" t="s">
        <v>158</v>
      </c>
      <c r="AB23" s="107" t="s">
        <v>77</v>
      </c>
      <c r="AC23"/>
    </row>
    <row r="24" spans="2:28" ht="12.75" customHeight="1">
      <c r="B24" s="154" t="s">
        <v>78</v>
      </c>
      <c r="C24" s="288" t="s">
        <v>100</v>
      </c>
      <c r="D24" s="288" t="s">
        <v>100</v>
      </c>
      <c r="E24" s="235" t="s">
        <v>100</v>
      </c>
      <c r="F24" s="235" t="s">
        <v>100</v>
      </c>
      <c r="G24" s="235" t="s">
        <v>100</v>
      </c>
      <c r="H24" s="235" t="s">
        <v>100</v>
      </c>
      <c r="I24" s="235" t="s">
        <v>100</v>
      </c>
      <c r="J24" s="234">
        <v>2.5</v>
      </c>
      <c r="K24" s="234">
        <v>2.5</v>
      </c>
      <c r="L24" s="234">
        <v>2.5</v>
      </c>
      <c r="M24" s="234">
        <v>2.55</v>
      </c>
      <c r="N24" s="235">
        <f>1.193+1.327</f>
        <v>2.52</v>
      </c>
      <c r="O24" s="235">
        <f>1.212+1.358</f>
        <v>2.5700000000000003</v>
      </c>
      <c r="P24" s="235">
        <f>1.214+1.357</f>
        <v>2.5709999999999997</v>
      </c>
      <c r="Q24" s="235">
        <f>1.201+1.335</f>
        <v>2.536</v>
      </c>
      <c r="R24" s="235">
        <f>1.193+1.323</f>
        <v>2.516</v>
      </c>
      <c r="S24" s="235">
        <f>1.169+1.251</f>
        <v>2.42</v>
      </c>
      <c r="T24" s="235">
        <f>1.144+1.209</f>
        <v>2.3529999999999998</v>
      </c>
      <c r="U24" s="235">
        <f>1.113+1.17</f>
        <v>2.283</v>
      </c>
      <c r="V24" s="235">
        <f>1.104+1.176</f>
        <v>2.2800000000000002</v>
      </c>
      <c r="W24" s="235">
        <f>1.095+1.24</f>
        <v>2.335</v>
      </c>
      <c r="X24" s="235">
        <f>1.185+1.339</f>
        <v>2.524</v>
      </c>
      <c r="Y24" s="235">
        <f>1.15+1.339</f>
        <v>2.489</v>
      </c>
      <c r="Z24" s="235">
        <f>1.161535+1.342378</f>
        <v>2.503913</v>
      </c>
      <c r="AA24" s="303">
        <f t="shared" si="3"/>
        <v>0.5991562876657355</v>
      </c>
      <c r="AB24" s="154" t="s">
        <v>78</v>
      </c>
    </row>
    <row r="25" spans="1:29" s="214" customFormat="1" ht="12.75" customHeight="1">
      <c r="A25" s="290"/>
      <c r="B25" s="107" t="s">
        <v>79</v>
      </c>
      <c r="C25" s="398" t="s">
        <v>158</v>
      </c>
      <c r="D25" s="398" t="s">
        <v>158</v>
      </c>
      <c r="E25" s="244" t="s">
        <v>158</v>
      </c>
      <c r="F25" s="244" t="s">
        <v>158</v>
      </c>
      <c r="G25" s="244" t="s">
        <v>158</v>
      </c>
      <c r="H25" s="244" t="s">
        <v>158</v>
      </c>
      <c r="I25" s="244" t="s">
        <v>158</v>
      </c>
      <c r="J25" s="244" t="s">
        <v>158</v>
      </c>
      <c r="K25" s="244" t="s">
        <v>158</v>
      </c>
      <c r="L25" s="244" t="s">
        <v>158</v>
      </c>
      <c r="M25" s="244" t="s">
        <v>158</v>
      </c>
      <c r="N25" s="244" t="s">
        <v>158</v>
      </c>
      <c r="O25" s="244" t="s">
        <v>158</v>
      </c>
      <c r="P25" s="244" t="s">
        <v>158</v>
      </c>
      <c r="Q25" s="244" t="s">
        <v>158</v>
      </c>
      <c r="R25" s="244" t="s">
        <v>158</v>
      </c>
      <c r="S25" s="244" t="s">
        <v>158</v>
      </c>
      <c r="T25" s="244" t="s">
        <v>158</v>
      </c>
      <c r="U25" s="244" t="s">
        <v>158</v>
      </c>
      <c r="V25" s="244" t="s">
        <v>158</v>
      </c>
      <c r="W25" s="244" t="s">
        <v>158</v>
      </c>
      <c r="X25" s="244" t="s">
        <v>158</v>
      </c>
      <c r="Y25" s="244" t="s">
        <v>158</v>
      </c>
      <c r="Z25" s="244">
        <v>0</v>
      </c>
      <c r="AA25" s="400"/>
      <c r="AB25" s="107" t="s">
        <v>79</v>
      </c>
      <c r="AC25"/>
    </row>
    <row r="26" spans="2:28" ht="12.75" customHeight="1">
      <c r="B26" s="154" t="s">
        <v>16</v>
      </c>
      <c r="C26" s="288">
        <v>1.24</v>
      </c>
      <c r="D26" s="288">
        <v>1.35</v>
      </c>
      <c r="E26" s="235">
        <v>1.26</v>
      </c>
      <c r="F26" s="235">
        <v>1.29</v>
      </c>
      <c r="G26" s="235">
        <v>1.32</v>
      </c>
      <c r="H26" s="235">
        <v>1.34</v>
      </c>
      <c r="I26" s="235">
        <v>1.39</v>
      </c>
      <c r="J26" s="235">
        <v>1.38</v>
      </c>
      <c r="K26" s="235">
        <v>1.39</v>
      </c>
      <c r="L26" s="234">
        <v>1.4</v>
      </c>
      <c r="M26" s="234">
        <v>1.4</v>
      </c>
      <c r="N26" s="234">
        <v>1.42</v>
      </c>
      <c r="O26" s="234">
        <v>1.43</v>
      </c>
      <c r="P26" s="234">
        <v>1.438</v>
      </c>
      <c r="Q26" s="234">
        <v>1.45</v>
      </c>
      <c r="R26" s="234">
        <v>1.48</v>
      </c>
      <c r="S26" s="234">
        <v>1.5</v>
      </c>
      <c r="T26" s="234">
        <v>1.5</v>
      </c>
      <c r="U26" s="234">
        <v>1.5</v>
      </c>
      <c r="V26" s="234">
        <v>1.52</v>
      </c>
      <c r="W26" s="234">
        <v>1.55</v>
      </c>
      <c r="X26" s="234">
        <v>1.56</v>
      </c>
      <c r="Y26" s="234">
        <v>1.580301937353571</v>
      </c>
      <c r="Z26" s="234">
        <f>AVERAGE(W26:Y26)</f>
        <v>1.563433979117857</v>
      </c>
      <c r="AA26" s="289">
        <f t="shared" si="3"/>
        <v>-1.0673883159291364</v>
      </c>
      <c r="AB26" s="154" t="s">
        <v>16</v>
      </c>
    </row>
    <row r="27" spans="1:29" s="214" customFormat="1" ht="12.75" customHeight="1">
      <c r="A27" s="290"/>
      <c r="B27" s="107" t="s">
        <v>82</v>
      </c>
      <c r="C27" s="357">
        <v>1.5</v>
      </c>
      <c r="D27" s="357">
        <v>1.65</v>
      </c>
      <c r="E27" s="236">
        <v>2.796</v>
      </c>
      <c r="F27" s="236">
        <v>2.926</v>
      </c>
      <c r="G27" s="236">
        <v>2.941</v>
      </c>
      <c r="H27" s="236">
        <v>3.1</v>
      </c>
      <c r="I27" s="236">
        <v>3.154</v>
      </c>
      <c r="J27" s="236">
        <v>3.3</v>
      </c>
      <c r="K27" s="236">
        <v>3.451</v>
      </c>
      <c r="L27" s="236">
        <v>3.407</v>
      </c>
      <c r="M27" s="236">
        <v>3.46</v>
      </c>
      <c r="N27" s="236">
        <v>3.536</v>
      </c>
      <c r="O27" s="236">
        <v>3.577</v>
      </c>
      <c r="P27" s="236">
        <v>3.618</v>
      </c>
      <c r="Q27" s="236">
        <v>3.613</v>
      </c>
      <c r="R27" s="236">
        <v>3.604</v>
      </c>
      <c r="S27" s="236">
        <v>3.676</v>
      </c>
      <c r="T27" s="236">
        <v>3.77</v>
      </c>
      <c r="U27" s="236">
        <v>3.866</v>
      </c>
      <c r="V27" s="236">
        <v>3.867</v>
      </c>
      <c r="W27" s="236">
        <v>3.961</v>
      </c>
      <c r="X27" s="236">
        <v>3.963</v>
      </c>
      <c r="Y27" s="236">
        <v>4.059</v>
      </c>
      <c r="Z27" s="236">
        <v>4.061</v>
      </c>
      <c r="AA27" s="316">
        <f t="shared" si="3"/>
        <v>0.049273220004920404</v>
      </c>
      <c r="AB27" s="107" t="s">
        <v>82</v>
      </c>
      <c r="AC27"/>
    </row>
    <row r="28" spans="2:28" ht="12.75" customHeight="1">
      <c r="B28" s="154" t="s">
        <v>81</v>
      </c>
      <c r="C28" s="288" t="s">
        <v>100</v>
      </c>
      <c r="D28" s="288" t="s">
        <v>100</v>
      </c>
      <c r="E28" s="235" t="s">
        <v>100</v>
      </c>
      <c r="F28" s="235" t="s">
        <v>100</v>
      </c>
      <c r="G28" s="235" t="s">
        <v>100</v>
      </c>
      <c r="H28" s="235" t="s">
        <v>100</v>
      </c>
      <c r="I28" s="235" t="s">
        <v>100</v>
      </c>
      <c r="J28" s="234">
        <v>5</v>
      </c>
      <c r="K28" s="234">
        <v>4.9</v>
      </c>
      <c r="L28" s="234">
        <v>4.85</v>
      </c>
      <c r="M28" s="234">
        <v>4.8</v>
      </c>
      <c r="N28" s="234">
        <v>4.75</v>
      </c>
      <c r="O28" s="234">
        <v>4.7</v>
      </c>
      <c r="P28" s="234">
        <v>4.65</v>
      </c>
      <c r="Q28" s="234">
        <v>4.62</v>
      </c>
      <c r="R28" s="234">
        <v>4.5</v>
      </c>
      <c r="S28" s="234">
        <v>4.5</v>
      </c>
      <c r="T28" s="234">
        <v>4.4</v>
      </c>
      <c r="U28" s="234">
        <v>4.45</v>
      </c>
      <c r="V28" s="234">
        <v>4.6</v>
      </c>
      <c r="W28" s="234">
        <v>4.6</v>
      </c>
      <c r="X28" s="234">
        <v>4.32</v>
      </c>
      <c r="Y28" s="234">
        <f>4.34</f>
        <v>4.34</v>
      </c>
      <c r="Z28" s="234">
        <v>4.403712781401456</v>
      </c>
      <c r="AA28" s="289">
        <f t="shared" si="3"/>
        <v>1.4680364378215671</v>
      </c>
      <c r="AB28" s="154" t="s">
        <v>81</v>
      </c>
    </row>
    <row r="29" spans="1:29" s="214" customFormat="1" ht="12.75" customHeight="1">
      <c r="A29" s="290"/>
      <c r="B29" s="107" t="s">
        <v>93</v>
      </c>
      <c r="C29" s="357">
        <v>0.93</v>
      </c>
      <c r="D29" s="357">
        <v>0.74</v>
      </c>
      <c r="E29" s="236">
        <v>0.67</v>
      </c>
      <c r="F29" s="236">
        <v>0.65</v>
      </c>
      <c r="G29" s="236">
        <v>0.63</v>
      </c>
      <c r="H29" s="236">
        <v>0.61</v>
      </c>
      <c r="I29" s="236">
        <v>0.58</v>
      </c>
      <c r="J29" s="236">
        <v>0.53</v>
      </c>
      <c r="K29" s="236">
        <v>0.54</v>
      </c>
      <c r="L29" s="236">
        <v>0.5</v>
      </c>
      <c r="M29" s="236">
        <v>0.5</v>
      </c>
      <c r="N29" s="236">
        <v>0.5</v>
      </c>
      <c r="O29" s="236">
        <v>0.53</v>
      </c>
      <c r="P29" s="236">
        <v>0.545</v>
      </c>
      <c r="Q29" s="236">
        <v>0.55</v>
      </c>
      <c r="R29" s="236">
        <v>0.77</v>
      </c>
      <c r="S29" s="236">
        <v>0.847</v>
      </c>
      <c r="T29" s="236">
        <f>0.80121+0.046506</f>
        <v>0.847716</v>
      </c>
      <c r="U29" s="236">
        <f>0.785327+0.202473</f>
        <v>0.9878</v>
      </c>
      <c r="V29" s="236">
        <f>0.803969+0.245921</f>
        <v>1.04989</v>
      </c>
      <c r="W29" s="236">
        <f>0.8354+0.259361</f>
        <v>1.094761</v>
      </c>
      <c r="X29" s="236">
        <f>0.829067+0.261117</f>
        <v>1.090184</v>
      </c>
      <c r="Y29" s="236">
        <f>0.866169+0.267064</f>
        <v>1.133233</v>
      </c>
      <c r="Z29" s="236">
        <v>1.148</v>
      </c>
      <c r="AA29" s="316">
        <f t="shared" si="3"/>
        <v>1.3030859496679028</v>
      </c>
      <c r="AB29" s="107" t="s">
        <v>93</v>
      </c>
      <c r="AC29"/>
    </row>
    <row r="30" spans="2:28" ht="12.75" customHeight="1">
      <c r="B30" s="154" t="s">
        <v>103</v>
      </c>
      <c r="C30" s="288"/>
      <c r="D30" s="288"/>
      <c r="E30" s="235"/>
      <c r="F30" s="235"/>
      <c r="G30" s="235"/>
      <c r="H30" s="235"/>
      <c r="I30" s="235"/>
      <c r="J30" s="234">
        <v>6</v>
      </c>
      <c r="K30" s="234">
        <v>6</v>
      </c>
      <c r="L30" s="234">
        <v>6</v>
      </c>
      <c r="M30" s="234">
        <v>6</v>
      </c>
      <c r="N30" s="234">
        <v>6</v>
      </c>
      <c r="O30" s="234">
        <v>6</v>
      </c>
      <c r="P30" s="234">
        <v>6</v>
      </c>
      <c r="Q30" s="234">
        <v>6</v>
      </c>
      <c r="R30" s="235">
        <v>5.777215</v>
      </c>
      <c r="S30" s="235">
        <v>6.192045</v>
      </c>
      <c r="T30" s="235">
        <v>6.596908000000001</v>
      </c>
      <c r="U30" s="234">
        <v>6.8</v>
      </c>
      <c r="V30" s="234">
        <v>6.9</v>
      </c>
      <c r="W30" s="234">
        <v>7</v>
      </c>
      <c r="X30" s="234">
        <v>7.047</v>
      </c>
      <c r="Y30" s="234">
        <v>7.138710097776035</v>
      </c>
      <c r="Z30" s="234">
        <f>AVERAGE(W30:Y30)</f>
        <v>7.061903365925345</v>
      </c>
      <c r="AA30" s="289">
        <f t="shared" si="3"/>
        <v>-1.0759189097007607</v>
      </c>
      <c r="AB30" s="154" t="s">
        <v>103</v>
      </c>
    </row>
    <row r="31" spans="2:28" ht="12.75" customHeight="1">
      <c r="B31" s="107" t="s">
        <v>84</v>
      </c>
      <c r="C31" s="394" t="s">
        <v>158</v>
      </c>
      <c r="D31" s="394" t="s">
        <v>158</v>
      </c>
      <c r="E31" s="245" t="s">
        <v>158</v>
      </c>
      <c r="F31" s="245" t="s">
        <v>158</v>
      </c>
      <c r="G31" s="245" t="s">
        <v>158</v>
      </c>
      <c r="H31" s="245" t="s">
        <v>158</v>
      </c>
      <c r="I31" s="245" t="s">
        <v>158</v>
      </c>
      <c r="J31" s="245" t="s">
        <v>158</v>
      </c>
      <c r="K31" s="245" t="s">
        <v>158</v>
      </c>
      <c r="L31" s="245" t="s">
        <v>158</v>
      </c>
      <c r="M31" s="245" t="s">
        <v>158</v>
      </c>
      <c r="N31" s="245" t="s">
        <v>158</v>
      </c>
      <c r="O31" s="245" t="s">
        <v>158</v>
      </c>
      <c r="P31" s="245" t="s">
        <v>158</v>
      </c>
      <c r="Q31" s="245" t="s">
        <v>158</v>
      </c>
      <c r="R31" s="245" t="s">
        <v>158</v>
      </c>
      <c r="S31" s="245" t="s">
        <v>158</v>
      </c>
      <c r="T31" s="245" t="s">
        <v>158</v>
      </c>
      <c r="U31" s="245" t="s">
        <v>158</v>
      </c>
      <c r="V31" s="245" t="s">
        <v>158</v>
      </c>
      <c r="W31" s="245" t="s">
        <v>158</v>
      </c>
      <c r="X31" s="245" t="s">
        <v>158</v>
      </c>
      <c r="Y31" s="245" t="s">
        <v>158</v>
      </c>
      <c r="Z31" s="245">
        <v>0</v>
      </c>
      <c r="AA31" s="401" t="s">
        <v>158</v>
      </c>
      <c r="AB31" s="107" t="s">
        <v>84</v>
      </c>
    </row>
    <row r="32" spans="2:28" ht="12.75" customHeight="1">
      <c r="B32" s="154" t="s">
        <v>86</v>
      </c>
      <c r="C32" s="288"/>
      <c r="D32" s="288"/>
      <c r="E32" s="235"/>
      <c r="F32" s="235"/>
      <c r="G32" s="235"/>
      <c r="H32" s="235" t="s">
        <v>100</v>
      </c>
      <c r="I32" s="235" t="s">
        <v>100</v>
      </c>
      <c r="J32" s="234">
        <f>0.14623*3</f>
        <v>0.43869</v>
      </c>
      <c r="K32" s="234">
        <v>0.42</v>
      </c>
      <c r="L32" s="234">
        <v>0.4</v>
      </c>
      <c r="M32" s="234">
        <f>0.126488*3</f>
        <v>0.37946399999999997</v>
      </c>
      <c r="N32" s="234">
        <f>0.117714*3</f>
        <v>0.353142</v>
      </c>
      <c r="O32" s="234">
        <v>0.35</v>
      </c>
      <c r="P32" s="234">
        <v>0.35736278</v>
      </c>
      <c r="Q32" s="234">
        <v>0.35821163</v>
      </c>
      <c r="R32" s="234">
        <v>0.36700559999999993</v>
      </c>
      <c r="S32" s="234">
        <v>0.36223677000000004</v>
      </c>
      <c r="T32" s="234">
        <v>0.38621753999999997</v>
      </c>
      <c r="U32" s="234">
        <v>0.384426</v>
      </c>
      <c r="V32" s="234">
        <f>0.109705*3.6</f>
        <v>0.394938</v>
      </c>
      <c r="W32" s="234">
        <f>0.10708*3.43</f>
        <v>0.3672844</v>
      </c>
      <c r="X32" s="234">
        <v>0.2925259</v>
      </c>
      <c r="Y32" s="234">
        <v>0.2834431</v>
      </c>
      <c r="Z32" s="234">
        <f>2.81*0.109182</f>
        <v>0.30680142</v>
      </c>
      <c r="AA32" s="289">
        <f t="shared" si="3"/>
        <v>8.240920311695717</v>
      </c>
      <c r="AB32" s="154" t="s">
        <v>86</v>
      </c>
    </row>
    <row r="33" spans="2:28" ht="12.75" customHeight="1">
      <c r="B33" s="107" t="s">
        <v>88</v>
      </c>
      <c r="C33" s="286">
        <v>0.1</v>
      </c>
      <c r="D33" s="286">
        <v>0.13</v>
      </c>
      <c r="E33" s="240">
        <v>0.35</v>
      </c>
      <c r="F33" s="240">
        <v>0.34</v>
      </c>
      <c r="G33" s="240">
        <v>0.345</v>
      </c>
      <c r="H33" s="240">
        <f>0.0993+0.2581</f>
        <v>0.3574</v>
      </c>
      <c r="I33" s="240">
        <v>0.37</v>
      </c>
      <c r="J33" s="240">
        <f>0.1091+0.2785</f>
        <v>0.38760000000000006</v>
      </c>
      <c r="K33" s="240">
        <v>0.4</v>
      </c>
      <c r="L33" s="240">
        <f>0.1162+0.3006</f>
        <v>0.41679999999999995</v>
      </c>
      <c r="M33" s="240">
        <v>0.439</v>
      </c>
      <c r="N33" s="240">
        <f>0.1205+0.3598</f>
        <v>0.4803</v>
      </c>
      <c r="O33" s="240">
        <f>0.118+0.379</f>
        <v>0.497</v>
      </c>
      <c r="P33" s="240">
        <f>0.1193+0.3853</f>
        <v>0.5045999999999999</v>
      </c>
      <c r="Q33" s="240">
        <f>0.1167+0.4008</f>
        <v>0.5175</v>
      </c>
      <c r="R33" s="240">
        <f>0.1182+0.4041</f>
        <v>0.5223</v>
      </c>
      <c r="S33" s="240">
        <f>0.119+0.404</f>
        <v>0.523</v>
      </c>
      <c r="T33" s="240">
        <f>0.117+0.409</f>
        <v>0.526</v>
      </c>
      <c r="U33" s="240">
        <f>0.11+0.414</f>
        <v>0.524</v>
      </c>
      <c r="V33" s="240">
        <f>0.11+0.41</f>
        <v>0.52</v>
      </c>
      <c r="W33" s="240">
        <f>0.112+0.42</f>
        <v>0.532</v>
      </c>
      <c r="X33" s="240">
        <v>0.532</v>
      </c>
      <c r="Y33" s="240">
        <f>0.113+0.417</f>
        <v>0.53</v>
      </c>
      <c r="Z33" s="402">
        <f>0.397+0.118</f>
        <v>0.515</v>
      </c>
      <c r="AA33" s="302">
        <f t="shared" si="3"/>
        <v>-2.830188679245282</v>
      </c>
      <c r="AB33" s="107" t="s">
        <v>88</v>
      </c>
    </row>
    <row r="34" spans="2:28" ht="12.75" customHeight="1">
      <c r="B34" s="154" t="s">
        <v>89</v>
      </c>
      <c r="C34" s="288">
        <v>1.44</v>
      </c>
      <c r="D34" s="288">
        <v>1.97</v>
      </c>
      <c r="E34" s="235">
        <v>2.01</v>
      </c>
      <c r="F34" s="235">
        <v>1.93</v>
      </c>
      <c r="G34" s="235">
        <v>1.91</v>
      </c>
      <c r="H34" s="235">
        <v>1.91</v>
      </c>
      <c r="I34" s="235">
        <v>1.89</v>
      </c>
      <c r="J34" s="235">
        <v>1.94</v>
      </c>
      <c r="K34" s="311">
        <v>1.98</v>
      </c>
      <c r="L34" s="235">
        <f>1.496+0.375</f>
        <v>1.871</v>
      </c>
      <c r="M34" s="235">
        <f>1.505+0.374</f>
        <v>1.879</v>
      </c>
      <c r="N34" s="235">
        <f>1.526+0.38</f>
        <v>1.9060000000000001</v>
      </c>
      <c r="O34" s="235">
        <f>1.588+0.394</f>
        <v>1.9820000000000002</v>
      </c>
      <c r="P34" s="235">
        <f>1.581+0.41</f>
        <v>1.9909999999999999</v>
      </c>
      <c r="Q34" s="235">
        <f>1.578+0.415</f>
        <v>1.993</v>
      </c>
      <c r="R34" s="235">
        <f>1.558+0.436</f>
        <v>1.994</v>
      </c>
      <c r="S34" s="235">
        <f>1.556+0.462</f>
        <v>2.0180000000000002</v>
      </c>
      <c r="T34" s="235">
        <f>1.541+0.473</f>
        <v>2.014</v>
      </c>
      <c r="U34" s="235">
        <f>1.657+0.482</f>
        <v>2.1390000000000002</v>
      </c>
      <c r="V34" s="235">
        <f>1.69+0.514</f>
        <v>2.2039999999999997</v>
      </c>
      <c r="W34" s="235">
        <f>1.715+0.524</f>
        <v>2.239</v>
      </c>
      <c r="X34" s="235">
        <f>1.715+0.524</f>
        <v>2.239</v>
      </c>
      <c r="Y34" s="235">
        <f>1.731+0.549</f>
        <v>2.2800000000000002</v>
      </c>
      <c r="Z34" s="235">
        <f>1.725+0.615</f>
        <v>2.34</v>
      </c>
      <c r="AA34" s="303">
        <f t="shared" si="3"/>
        <v>2.6315789473684106</v>
      </c>
      <c r="AB34" s="154" t="s">
        <v>89</v>
      </c>
    </row>
    <row r="35" spans="2:28" ht="12.75" customHeight="1">
      <c r="B35" s="107" t="s">
        <v>13</v>
      </c>
      <c r="C35" s="286">
        <v>5.2</v>
      </c>
      <c r="D35" s="286">
        <v>4.3</v>
      </c>
      <c r="E35" s="240">
        <v>6.5</v>
      </c>
      <c r="F35" s="240">
        <v>6.24</v>
      </c>
      <c r="G35" s="240">
        <v>6.15</v>
      </c>
      <c r="H35" s="240">
        <v>6.24</v>
      </c>
      <c r="I35" s="240">
        <v>6.507</v>
      </c>
      <c r="J35" s="240">
        <v>6.811</v>
      </c>
      <c r="K35" s="240">
        <v>6.648</v>
      </c>
      <c r="L35" s="240">
        <v>6.998</v>
      </c>
      <c r="M35" s="240">
        <f>6.716+0.632</f>
        <v>7.348</v>
      </c>
      <c r="N35" s="240">
        <f>7.171+0.714</f>
        <v>7.885</v>
      </c>
      <c r="O35" s="240">
        <f>7.47+0.869</f>
        <v>8.339</v>
      </c>
      <c r="P35" s="240">
        <f>7.451+0.895</f>
        <v>8.346</v>
      </c>
      <c r="Q35" s="240">
        <f>7.367+0.961</f>
        <v>8.328</v>
      </c>
      <c r="R35" s="240">
        <f>7.34+0.96</f>
        <v>8.3</v>
      </c>
      <c r="S35" s="240">
        <f>7.606+1.079</f>
        <v>8.685</v>
      </c>
      <c r="T35" s="240">
        <f>7.586+1.1</f>
        <v>8.686</v>
      </c>
      <c r="U35" s="240">
        <f>7.947+1.177</f>
        <v>9.124</v>
      </c>
      <c r="V35" s="240">
        <f>8.352+1.1244</f>
        <v>9.4764</v>
      </c>
      <c r="W35" s="240">
        <f>8.646+1.251</f>
        <v>9.897</v>
      </c>
      <c r="X35" s="240">
        <f>8.457+1.271</f>
        <v>9.728000000000002</v>
      </c>
      <c r="Y35" s="240">
        <f>8.875+1.31</f>
        <v>10.185</v>
      </c>
      <c r="Z35" s="240">
        <f>9.519+0.8247*1.60934+0.0412</f>
        <v>10.887422698</v>
      </c>
      <c r="AA35" s="302">
        <f t="shared" si="3"/>
        <v>6.896639155621003</v>
      </c>
      <c r="AB35" s="107" t="s">
        <v>13</v>
      </c>
    </row>
    <row r="36" spans="2:28" ht="12.75" customHeight="1">
      <c r="B36" s="148" t="s">
        <v>164</v>
      </c>
      <c r="C36" s="323"/>
      <c r="D36" s="323"/>
      <c r="E36" s="249"/>
      <c r="F36" s="249"/>
      <c r="G36" s="249"/>
      <c r="H36" s="250">
        <f>0.182209*3</f>
        <v>0.546627</v>
      </c>
      <c r="I36" s="250">
        <f>0.180867*3</f>
        <v>0.542601</v>
      </c>
      <c r="J36" s="250">
        <f>0.175132*3</f>
        <v>0.525396</v>
      </c>
      <c r="K36" s="250">
        <f>0.162293*3</f>
        <v>0.48687899999999995</v>
      </c>
      <c r="L36" s="250">
        <f>0.166031*3</f>
        <v>0.498093</v>
      </c>
      <c r="M36" s="250">
        <f>0.162632*3</f>
        <v>0.487896</v>
      </c>
      <c r="N36" s="250">
        <f>0.162422*3</f>
        <v>0.48726600000000003</v>
      </c>
      <c r="O36" s="250">
        <f>0.168057*3</f>
        <v>0.504171</v>
      </c>
      <c r="P36" s="250">
        <f>0.177248*3</f>
        <v>0.531744</v>
      </c>
      <c r="Q36" s="250">
        <f>0.178246*3</f>
        <v>0.5347379999999999</v>
      </c>
      <c r="R36" s="250">
        <f>0.183436*3</f>
        <v>0.550308</v>
      </c>
      <c r="S36" s="250">
        <f>0.176361*3</f>
        <v>0.529083</v>
      </c>
      <c r="T36" s="250">
        <f>0.177722*3</f>
        <v>0.533166</v>
      </c>
      <c r="U36" s="250">
        <f>0.186591*3</f>
        <v>0.5597730000000001</v>
      </c>
      <c r="V36" s="250">
        <f>0.22032*3</f>
        <v>0.66096</v>
      </c>
      <c r="W36" s="250">
        <f>0.207868*3</f>
        <v>0.623604</v>
      </c>
      <c r="X36" s="250">
        <f>0.19294*3</f>
        <v>0.57882</v>
      </c>
      <c r="Y36" s="250">
        <f>0.183119*3</f>
        <v>0.549357</v>
      </c>
      <c r="Z36" s="250">
        <f>0.173177*3</f>
        <v>0.519531</v>
      </c>
      <c r="AA36" s="403">
        <f t="shared" si="3"/>
        <v>-5.429256385192147</v>
      </c>
      <c r="AB36" s="148" t="s">
        <v>164</v>
      </c>
    </row>
    <row r="37" spans="1:29" s="214" customFormat="1" ht="12.75" customHeight="1">
      <c r="A37" s="290"/>
      <c r="B37" s="107" t="s">
        <v>165</v>
      </c>
      <c r="C37" s="398" t="s">
        <v>158</v>
      </c>
      <c r="D37" s="398" t="s">
        <v>158</v>
      </c>
      <c r="E37" s="244" t="s">
        <v>158</v>
      </c>
      <c r="F37" s="244" t="s">
        <v>158</v>
      </c>
      <c r="G37" s="244" t="s">
        <v>158</v>
      </c>
      <c r="H37" s="244" t="s">
        <v>158</v>
      </c>
      <c r="I37" s="244" t="s">
        <v>158</v>
      </c>
      <c r="J37" s="244" t="s">
        <v>158</v>
      </c>
      <c r="K37" s="244" t="s">
        <v>158</v>
      </c>
      <c r="L37" s="244" t="s">
        <v>158</v>
      </c>
      <c r="M37" s="244" t="s">
        <v>158</v>
      </c>
      <c r="N37" s="244" t="s">
        <v>158</v>
      </c>
      <c r="O37" s="244" t="s">
        <v>158</v>
      </c>
      <c r="P37" s="244" t="s">
        <v>158</v>
      </c>
      <c r="Q37" s="244" t="s">
        <v>158</v>
      </c>
      <c r="R37" s="244" t="s">
        <v>158</v>
      </c>
      <c r="S37" s="244" t="s">
        <v>158</v>
      </c>
      <c r="T37" s="244" t="s">
        <v>158</v>
      </c>
      <c r="U37" s="244" t="s">
        <v>158</v>
      </c>
      <c r="V37" s="244" t="s">
        <v>158</v>
      </c>
      <c r="W37" s="244" t="s">
        <v>158</v>
      </c>
      <c r="X37" s="244" t="s">
        <v>158</v>
      </c>
      <c r="Y37" s="244" t="s">
        <v>158</v>
      </c>
      <c r="Z37" s="244" t="s">
        <v>158</v>
      </c>
      <c r="AA37" s="399" t="s">
        <v>158</v>
      </c>
      <c r="AB37" s="107" t="s">
        <v>165</v>
      </c>
      <c r="AC37"/>
    </row>
    <row r="38" spans="2:28" ht="12.75" customHeight="1">
      <c r="B38" s="156" t="s">
        <v>166</v>
      </c>
      <c r="C38" s="288"/>
      <c r="D38" s="288"/>
      <c r="E38" s="235"/>
      <c r="F38" s="235"/>
      <c r="G38" s="235"/>
      <c r="H38" s="235"/>
      <c r="I38" s="235"/>
      <c r="J38" s="235"/>
      <c r="K38" s="235"/>
      <c r="L38" s="235"/>
      <c r="M38" s="235"/>
      <c r="N38" s="235"/>
      <c r="O38" s="235"/>
      <c r="P38" s="235"/>
      <c r="Q38" s="235"/>
      <c r="R38" s="235"/>
      <c r="S38" s="235"/>
      <c r="T38" s="235"/>
      <c r="U38" s="235"/>
      <c r="V38" s="235"/>
      <c r="W38" s="235"/>
      <c r="X38" s="235"/>
      <c r="Y38" s="235"/>
      <c r="Z38" s="235"/>
      <c r="AA38" s="404"/>
      <c r="AB38" s="156" t="s">
        <v>166</v>
      </c>
    </row>
    <row r="39" spans="1:29" s="214" customFormat="1" ht="12.75" customHeight="1">
      <c r="A39" s="290"/>
      <c r="B39" s="107" t="s">
        <v>167</v>
      </c>
      <c r="C39" s="405" t="s">
        <v>158</v>
      </c>
      <c r="D39" s="405" t="s">
        <v>158</v>
      </c>
      <c r="E39" s="406" t="s">
        <v>158</v>
      </c>
      <c r="F39" s="406" t="s">
        <v>158</v>
      </c>
      <c r="G39" s="406" t="s">
        <v>158</v>
      </c>
      <c r="H39" s="406" t="s">
        <v>158</v>
      </c>
      <c r="I39" s="406" t="s">
        <v>158</v>
      </c>
      <c r="J39" s="406" t="s">
        <v>158</v>
      </c>
      <c r="K39" s="406" t="s">
        <v>158</v>
      </c>
      <c r="L39" s="406" t="s">
        <v>158</v>
      </c>
      <c r="M39" s="406" t="s">
        <v>158</v>
      </c>
      <c r="N39" s="406" t="s">
        <v>158</v>
      </c>
      <c r="O39" s="406" t="s">
        <v>158</v>
      </c>
      <c r="P39" s="406" t="s">
        <v>158</v>
      </c>
      <c r="Q39" s="406" t="s">
        <v>158</v>
      </c>
      <c r="R39" s="406" t="s">
        <v>158</v>
      </c>
      <c r="S39" s="406" t="s">
        <v>158</v>
      </c>
      <c r="T39" s="406" t="s">
        <v>158</v>
      </c>
      <c r="U39" s="406" t="s">
        <v>158</v>
      </c>
      <c r="V39" s="406" t="s">
        <v>158</v>
      </c>
      <c r="W39" s="406" t="s">
        <v>158</v>
      </c>
      <c r="X39" s="406" t="s">
        <v>158</v>
      </c>
      <c r="Y39" s="406" t="s">
        <v>158</v>
      </c>
      <c r="Z39" s="406" t="s">
        <v>158</v>
      </c>
      <c r="AA39" s="407" t="s">
        <v>158</v>
      </c>
      <c r="AB39" s="107" t="s">
        <v>167</v>
      </c>
      <c r="AC39"/>
    </row>
    <row r="40" spans="2:28" ht="12.75" customHeight="1">
      <c r="B40" s="154" t="s">
        <v>168</v>
      </c>
      <c r="C40" s="288">
        <v>0.428</v>
      </c>
      <c r="D40" s="288">
        <v>0.501</v>
      </c>
      <c r="E40" s="235">
        <v>0.419</v>
      </c>
      <c r="F40" s="311">
        <v>0.42</v>
      </c>
      <c r="G40" s="235">
        <v>0.349</v>
      </c>
      <c r="H40" s="235">
        <v>0.37</v>
      </c>
      <c r="I40" s="235">
        <v>0.375</v>
      </c>
      <c r="J40" s="235">
        <v>0.381</v>
      </c>
      <c r="K40" s="235">
        <v>0.419</v>
      </c>
      <c r="L40" s="235">
        <v>0.427</v>
      </c>
      <c r="M40" s="235">
        <v>0.469</v>
      </c>
      <c r="N40" s="235">
        <v>0.507</v>
      </c>
      <c r="O40" s="235">
        <v>0.496</v>
      </c>
      <c r="P40" s="235">
        <v>0.508</v>
      </c>
      <c r="Q40" s="235">
        <v>0.498</v>
      </c>
      <c r="R40" s="235">
        <v>0.476</v>
      </c>
      <c r="S40" s="235">
        <v>0.458</v>
      </c>
      <c r="T40" s="235">
        <v>0.518</v>
      </c>
      <c r="U40" s="235">
        <v>0.508</v>
      </c>
      <c r="V40" s="235">
        <v>0.535</v>
      </c>
      <c r="W40" s="235">
        <v>0.572</v>
      </c>
      <c r="X40" s="235">
        <v>0.588</v>
      </c>
      <c r="Y40" s="235">
        <v>0.62</v>
      </c>
      <c r="Z40" s="235">
        <v>0.631</v>
      </c>
      <c r="AA40" s="303">
        <f t="shared" si="3"/>
        <v>1.7741935483871032</v>
      </c>
      <c r="AB40" s="154" t="s">
        <v>168</v>
      </c>
    </row>
    <row r="41" spans="1:29" s="214" customFormat="1" ht="12.75" customHeight="1">
      <c r="A41" s="290"/>
      <c r="B41" s="109" t="s">
        <v>169</v>
      </c>
      <c r="C41" s="366"/>
      <c r="D41" s="366"/>
      <c r="E41" s="367"/>
      <c r="F41" s="367"/>
      <c r="G41" s="367"/>
      <c r="H41" s="367"/>
      <c r="I41" s="367"/>
      <c r="J41" s="367">
        <v>1.5002</v>
      </c>
      <c r="K41" s="367">
        <v>1.5463</v>
      </c>
      <c r="L41" s="367">
        <v>1.5072</v>
      </c>
      <c r="M41" s="367">
        <v>1.3951</v>
      </c>
      <c r="N41" s="367">
        <v>1.403</v>
      </c>
      <c r="O41" s="367">
        <v>1.403</v>
      </c>
      <c r="P41" s="367">
        <v>1.4358</v>
      </c>
      <c r="Q41" s="367">
        <v>1.4478</v>
      </c>
      <c r="R41" s="367">
        <v>1.4394</v>
      </c>
      <c r="S41" s="368">
        <v>1.4695</v>
      </c>
      <c r="T41" s="367">
        <v>0.7815</v>
      </c>
      <c r="U41" s="367">
        <v>0.7864</v>
      </c>
      <c r="V41" s="367">
        <v>0.8226</v>
      </c>
      <c r="W41" s="367">
        <v>0.9031</v>
      </c>
      <c r="X41" s="367">
        <v>0.9346</v>
      </c>
      <c r="Y41" s="367">
        <v>0.9782</v>
      </c>
      <c r="Z41" s="367">
        <v>1.0706</v>
      </c>
      <c r="AA41" s="408">
        <f t="shared" si="3"/>
        <v>9.445921079533832</v>
      </c>
      <c r="AB41" s="109" t="s">
        <v>169</v>
      </c>
      <c r="AC41"/>
    </row>
    <row r="42" spans="2:28" ht="31.5" customHeight="1">
      <c r="B42" s="1094" t="s">
        <v>213</v>
      </c>
      <c r="C42" s="1094"/>
      <c r="D42" s="1094"/>
      <c r="E42" s="1094"/>
      <c r="F42" s="1094"/>
      <c r="G42" s="1094"/>
      <c r="H42" s="1094"/>
      <c r="I42" s="1094"/>
      <c r="J42" s="1094"/>
      <c r="K42" s="1094"/>
      <c r="L42" s="1094"/>
      <c r="M42" s="1094"/>
      <c r="N42" s="1094"/>
      <c r="O42" s="1094"/>
      <c r="P42" s="1094"/>
      <c r="Q42" s="1094"/>
      <c r="R42" s="1094"/>
      <c r="S42" s="1094"/>
      <c r="T42" s="1094"/>
      <c r="U42" s="1094"/>
      <c r="V42" s="1094"/>
      <c r="W42" s="1094"/>
      <c r="X42" s="1094"/>
      <c r="Y42" s="1094"/>
      <c r="Z42" s="1094"/>
      <c r="AA42" s="1094"/>
      <c r="AB42" s="1094"/>
    </row>
    <row r="43" spans="2:28" ht="12.75" customHeight="1">
      <c r="B43" s="372" t="s">
        <v>214</v>
      </c>
      <c r="C43" s="409"/>
      <c r="D43" s="409"/>
      <c r="E43" s="409"/>
      <c r="F43" s="409"/>
      <c r="G43" s="409"/>
      <c r="H43" s="376"/>
      <c r="I43" s="409"/>
      <c r="J43" s="409"/>
      <c r="K43" s="409"/>
      <c r="L43" s="409"/>
      <c r="M43" s="409"/>
      <c r="N43" s="409"/>
      <c r="O43" s="409"/>
      <c r="P43" s="410"/>
      <c r="Q43" s="376"/>
      <c r="R43" s="375"/>
      <c r="S43" s="409"/>
      <c r="T43" s="409"/>
      <c r="U43" s="409"/>
      <c r="V43" s="409"/>
      <c r="W43" s="409"/>
      <c r="X43" s="409"/>
      <c r="Y43" s="409"/>
      <c r="Z43" s="409"/>
      <c r="AA43" s="376"/>
      <c r="AB43" s="409"/>
    </row>
    <row r="44" spans="2:27" ht="12.75" customHeight="1">
      <c r="B44" s="268" t="s">
        <v>215</v>
      </c>
      <c r="C44" s="268"/>
      <c r="D44" s="268"/>
      <c r="E44" s="268"/>
      <c r="F44" s="268"/>
      <c r="G44" s="268"/>
      <c r="H44" s="268"/>
      <c r="I44" s="268"/>
      <c r="J44" s="268"/>
      <c r="K44" s="268"/>
      <c r="L44" s="268"/>
      <c r="M44" s="268"/>
      <c r="N44" s="268"/>
      <c r="O44" s="268"/>
      <c r="P44" s="268"/>
      <c r="Q44" s="268"/>
      <c r="R44" s="268"/>
      <c r="S44" s="411"/>
      <c r="T44" s="411"/>
      <c r="U44" s="411"/>
      <c r="V44" s="411"/>
      <c r="W44" s="411"/>
      <c r="X44" s="411"/>
      <c r="Y44" s="411"/>
      <c r="Z44" s="411"/>
      <c r="AA44" s="411"/>
    </row>
    <row r="45" spans="2:27" ht="12.75" customHeight="1">
      <c r="B45" s="340" t="s">
        <v>216</v>
      </c>
      <c r="N45" s="412"/>
      <c r="O45" s="412"/>
      <c r="P45" s="412"/>
      <c r="Q45" s="412"/>
      <c r="R45" s="412"/>
      <c r="S45" s="412"/>
      <c r="T45" s="412"/>
      <c r="U45" s="412"/>
      <c r="V45" s="412"/>
      <c r="W45" s="412"/>
      <c r="X45" s="412"/>
      <c r="Y45" s="412"/>
      <c r="Z45" s="412"/>
      <c r="AA45" s="412"/>
    </row>
    <row r="46" spans="2:27" ht="12.75" customHeight="1">
      <c r="B46" s="340" t="s">
        <v>217</v>
      </c>
      <c r="C46" s="268"/>
      <c r="D46" s="268"/>
      <c r="E46" s="268"/>
      <c r="F46" s="268"/>
      <c r="G46" s="268"/>
      <c r="H46" s="268"/>
      <c r="I46" s="268"/>
      <c r="J46"/>
      <c r="K46"/>
      <c r="L46"/>
      <c r="M46"/>
      <c r="N46"/>
      <c r="O46"/>
      <c r="P46" s="268"/>
      <c r="Q46" s="268"/>
      <c r="R46" s="268"/>
      <c r="S46" s="382"/>
      <c r="T46" s="382"/>
      <c r="U46" s="382"/>
      <c r="V46" s="382"/>
      <c r="W46" s="382"/>
      <c r="X46" s="382"/>
      <c r="Y46" s="382"/>
      <c r="Z46" s="382"/>
      <c r="AA46" s="411"/>
    </row>
    <row r="47" ht="12.75" customHeight="1">
      <c r="B47" s="268"/>
    </row>
  </sheetData>
  <sheetProtection/>
  <mergeCells count="2">
    <mergeCell ref="B2:AB2"/>
    <mergeCell ref="B42:AB4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00"/>
  </sheetPr>
  <dimension ref="A1:AQ42"/>
  <sheetViews>
    <sheetView zoomScalePageLayoutView="0" workbookViewId="0" topLeftCell="A1">
      <selection activeCell="U35" sqref="U9:U35"/>
    </sheetView>
  </sheetViews>
  <sheetFormatPr defaultColWidth="9.140625" defaultRowHeight="12.75"/>
  <cols>
    <col min="1" max="1" width="2.7109375" style="101" customWidth="1"/>
    <col min="2" max="2" width="4.00390625" style="101" customWidth="1"/>
    <col min="3" max="4" width="6.7109375" style="101" hidden="1" customWidth="1"/>
    <col min="5" max="5" width="6.7109375" style="101" customWidth="1"/>
    <col min="6" max="9" width="6.7109375" style="101" hidden="1" customWidth="1"/>
    <col min="10" max="10" width="6.7109375" style="101" customWidth="1"/>
    <col min="11" max="14" width="6.7109375" style="101" hidden="1" customWidth="1"/>
    <col min="15" max="20" width="6.7109375" style="101" customWidth="1"/>
    <col min="21" max="26" width="7.28125" style="101" customWidth="1"/>
    <col min="27" max="27" width="6.00390625" style="101" customWidth="1"/>
    <col min="28" max="28" width="4.00390625" style="101" customWidth="1"/>
    <col min="29" max="29" width="11.8515625" style="101" customWidth="1"/>
    <col min="30" max="16384" width="9.140625" style="101" customWidth="1"/>
  </cols>
  <sheetData>
    <row r="1" spans="2:28" ht="14.25" customHeight="1">
      <c r="B1" s="263"/>
      <c r="C1" s="264"/>
      <c r="D1" s="264"/>
      <c r="E1" s="264"/>
      <c r="F1" s="264"/>
      <c r="G1" s="264"/>
      <c r="H1" s="264"/>
      <c r="I1" s="264"/>
      <c r="J1" s="264"/>
      <c r="K1" s="264"/>
      <c r="L1" s="264"/>
      <c r="M1" s="264"/>
      <c r="N1" s="264"/>
      <c r="O1" s="264"/>
      <c r="P1" s="264"/>
      <c r="Q1" s="100"/>
      <c r="U1" s="102"/>
      <c r="V1" s="102"/>
      <c r="W1" s="102"/>
      <c r="X1" s="102"/>
      <c r="Y1" s="102"/>
      <c r="Z1" s="102"/>
      <c r="AB1" s="102" t="s">
        <v>218</v>
      </c>
    </row>
    <row r="2" spans="2:28" s="268" customFormat="1" ht="30" customHeight="1">
      <c r="B2" s="1095" t="s">
        <v>22</v>
      </c>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row>
    <row r="3" spans="3:28" ht="12.75" customHeight="1">
      <c r="C3" s="269"/>
      <c r="D3" s="269"/>
      <c r="E3" s="269"/>
      <c r="F3" s="269"/>
      <c r="G3" s="269"/>
      <c r="H3" s="269"/>
      <c r="I3" s="269"/>
      <c r="J3" s="269"/>
      <c r="K3" s="269"/>
      <c r="L3" s="269"/>
      <c r="M3" s="269"/>
      <c r="N3" s="269"/>
      <c r="O3" s="269"/>
      <c r="P3" s="269"/>
      <c r="Q3" s="269"/>
      <c r="R3" s="269"/>
      <c r="X3" s="269" t="s">
        <v>201</v>
      </c>
      <c r="Y3" s="269"/>
      <c r="Z3" s="269"/>
      <c r="AA3" s="270"/>
      <c r="AB3" s="269"/>
    </row>
    <row r="4" spans="2:29" ht="19.5" customHeight="1">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41" t="s">
        <v>159</v>
      </c>
      <c r="AB4" s="346"/>
      <c r="AC4" s="346"/>
    </row>
    <row r="5" spans="2:29" ht="9.75" customHeight="1">
      <c r="B5" s="143"/>
      <c r="C5" s="145"/>
      <c r="D5" s="145"/>
      <c r="E5" s="146"/>
      <c r="F5" s="146"/>
      <c r="G5" s="146"/>
      <c r="H5" s="146"/>
      <c r="I5" s="146"/>
      <c r="J5" s="146"/>
      <c r="K5" s="146"/>
      <c r="L5" s="146"/>
      <c r="M5" s="146"/>
      <c r="N5" s="146"/>
      <c r="O5" s="146"/>
      <c r="P5" s="146"/>
      <c r="Q5" s="146"/>
      <c r="R5" s="146"/>
      <c r="S5" s="146"/>
      <c r="T5" s="146"/>
      <c r="U5" s="146"/>
      <c r="V5" s="146"/>
      <c r="W5" s="146"/>
      <c r="X5" s="146"/>
      <c r="Y5" s="146"/>
      <c r="Z5" s="146"/>
      <c r="AA5" s="348" t="s">
        <v>160</v>
      </c>
      <c r="AB5" s="346"/>
      <c r="AC5" s="346"/>
    </row>
    <row r="6" spans="2:29" ht="12.75" customHeight="1">
      <c r="B6" s="148" t="s">
        <v>161</v>
      </c>
      <c r="C6" s="413">
        <f>20.5+SUM(C9:C35)</f>
        <v>326.43499999999995</v>
      </c>
      <c r="D6" s="413">
        <f>18+SUM(D9:D35)</f>
        <v>365.98</v>
      </c>
      <c r="E6" s="414">
        <f aca="true" t="shared" si="0" ref="E6:L6">SUM(E9:E35)</f>
        <v>400.7069999999999</v>
      </c>
      <c r="F6" s="225">
        <f t="shared" si="0"/>
        <v>385.362</v>
      </c>
      <c r="G6" s="226">
        <f t="shared" si="0"/>
        <v>374.38</v>
      </c>
      <c r="H6" s="226">
        <f t="shared" si="0"/>
        <v>349.074</v>
      </c>
      <c r="I6" s="226">
        <f t="shared" si="0"/>
        <v>342.162</v>
      </c>
      <c r="J6" s="226">
        <f t="shared" si="0"/>
        <v>350.52470000000005</v>
      </c>
      <c r="K6" s="226">
        <f t="shared" si="0"/>
        <v>348.9918000000001</v>
      </c>
      <c r="L6" s="226">
        <f t="shared" si="0"/>
        <v>350.5315999999999</v>
      </c>
      <c r="M6" s="226">
        <f>SUM(M9:M35)</f>
        <v>350.6032000000001</v>
      </c>
      <c r="N6" s="226">
        <f aca="true" t="shared" si="1" ref="N6:U6">SUM(N9:N35)</f>
        <v>358.59970000000004</v>
      </c>
      <c r="O6" s="226">
        <f t="shared" si="1"/>
        <v>370.70788502490825</v>
      </c>
      <c r="P6" s="226">
        <f t="shared" si="1"/>
        <v>372.73928030944154</v>
      </c>
      <c r="Q6" s="226">
        <f t="shared" si="1"/>
        <v>365.57010261380464</v>
      </c>
      <c r="R6" s="226">
        <f t="shared" si="1"/>
        <v>361.88694756335343</v>
      </c>
      <c r="S6" s="226">
        <f t="shared" si="1"/>
        <v>367.8169446019999</v>
      </c>
      <c r="T6" s="226">
        <f t="shared" si="1"/>
        <v>377.14602313800003</v>
      </c>
      <c r="U6" s="226">
        <f t="shared" si="1"/>
        <v>390.55686906399995</v>
      </c>
      <c r="V6" s="226">
        <f>SUM(V9:V35)</f>
        <v>395.9368551540001</v>
      </c>
      <c r="W6" s="226">
        <f>SUM(W9:W35)</f>
        <v>411.0811650350002</v>
      </c>
      <c r="X6" s="226">
        <f>SUM(X9:X35)</f>
        <v>402.5074668029999</v>
      </c>
      <c r="Y6" s="226">
        <f>SUM(Y9:Y35)</f>
        <v>404.20266229800006</v>
      </c>
      <c r="Z6" s="225">
        <f>SUM(Z9:Z35)</f>
        <v>407.14454168899994</v>
      </c>
      <c r="AA6" s="388">
        <f>(Z6/Y6-1)*100</f>
        <v>0.7278228634800321</v>
      </c>
      <c r="AB6" s="148" t="s">
        <v>161</v>
      </c>
      <c r="AC6" s="346"/>
    </row>
    <row r="7" spans="1:29" ht="12.75" customHeight="1">
      <c r="A7" s="120"/>
      <c r="B7" s="154" t="s">
        <v>162</v>
      </c>
      <c r="C7" s="415">
        <f aca="true" t="shared" si="2" ref="C7:L7">SUM(C9,C12:C13,C15:C19,C23,C26:C27,C29,C33:C35)</f>
        <v>220.18699999999993</v>
      </c>
      <c r="D7" s="415">
        <f t="shared" si="2"/>
        <v>246.903</v>
      </c>
      <c r="E7" s="416">
        <f t="shared" si="2"/>
        <v>268.917</v>
      </c>
      <c r="F7" s="229">
        <f t="shared" si="2"/>
        <v>277.34700000000004</v>
      </c>
      <c r="G7" s="229">
        <f t="shared" si="2"/>
        <v>278.47099999999995</v>
      </c>
      <c r="H7" s="229">
        <f t="shared" si="2"/>
        <v>265.075</v>
      </c>
      <c r="I7" s="229">
        <f t="shared" si="2"/>
        <v>265.148</v>
      </c>
      <c r="J7" s="229">
        <f t="shared" si="2"/>
        <v>276.1327</v>
      </c>
      <c r="K7" s="229">
        <f t="shared" si="2"/>
        <v>282.27680000000004</v>
      </c>
      <c r="L7" s="229">
        <f t="shared" si="2"/>
        <v>286.5756</v>
      </c>
      <c r="M7" s="229">
        <f>SUM(M9,M12:M13,M15:M19,M23,M26:M27,M29,M33:M35)</f>
        <v>290.17120000000006</v>
      </c>
      <c r="N7" s="229">
        <f aca="true" t="shared" si="3" ref="N7:U7">SUM(N9,N12:N13,N15:N19,N23,N26:N27,N29,N33:N35)</f>
        <v>298.9577</v>
      </c>
      <c r="O7" s="229">
        <f t="shared" si="3"/>
        <v>309.3558850249082</v>
      </c>
      <c r="P7" s="229">
        <f t="shared" si="3"/>
        <v>314.0696313094416</v>
      </c>
      <c r="Q7" s="229">
        <f t="shared" si="3"/>
        <v>311.7431526138045</v>
      </c>
      <c r="R7" s="229">
        <f t="shared" si="3"/>
        <v>309.9621335633535</v>
      </c>
      <c r="S7" s="229">
        <f t="shared" si="3"/>
        <v>316.9001116019999</v>
      </c>
      <c r="T7" s="229">
        <f t="shared" si="3"/>
        <v>327.56862413799996</v>
      </c>
      <c r="U7" s="229">
        <f t="shared" si="3"/>
        <v>340.221958064</v>
      </c>
      <c r="V7" s="229">
        <f>SUM(V9,V12:V13,V15:V19,V23,V26:V27,V29,V33:V35)</f>
        <v>345.88670115400004</v>
      </c>
      <c r="W7" s="229">
        <f>SUM(W9,W12:W13,W15:W19,W23,W26:W27,W29,W33:W35)</f>
        <v>361.7444350350001</v>
      </c>
      <c r="X7" s="229">
        <f>SUM(X9,X12:X13,X15:X19,X23,X26:X27,X29,X33:X35)</f>
        <v>356.557222803</v>
      </c>
      <c r="Y7" s="229">
        <f>SUM(Y9,Y12:Y13,Y15:Y19,Y23,Y26:Y27,Y29,Y33:Y35)</f>
        <v>359.970272298</v>
      </c>
      <c r="Z7" s="228">
        <f>SUM(Z9,Z12:Z13,Z15:Z19,Z23,Z26:Z27,Z29,Z33:Z35)</f>
        <v>362.729541689</v>
      </c>
      <c r="AA7" s="390">
        <f aca="true" t="shared" si="4" ref="AA7:AA41">(Z7/Y7-1)*100</f>
        <v>0.7665270171853811</v>
      </c>
      <c r="AB7" s="154" t="s">
        <v>162</v>
      </c>
      <c r="AC7" s="417"/>
    </row>
    <row r="8" spans="1:29" ht="12.75" customHeight="1" thickBot="1">
      <c r="A8" s="120"/>
      <c r="B8" s="156" t="s">
        <v>163</v>
      </c>
      <c r="C8" s="418">
        <f>20.5+SUM(C10,C11,C14,C20,C21,C22,C24,C25,C28,C30,C31,C32)</f>
        <v>106.24799999999999</v>
      </c>
      <c r="D8" s="418">
        <f>18+SUM(D10,D11,D14,D20,D21,D22,D24,D25,D28,D30,D31,D32)</f>
        <v>119.077</v>
      </c>
      <c r="E8" s="419">
        <f>SUM(E10,E11,E14,E20,E21,E22,E24,E25,E28,E30,E31,E32)</f>
        <v>131.79</v>
      </c>
      <c r="F8" s="284">
        <f>SUM(F10,F11,F14,F20,F21,F22,F24,F25,F28,F30,F31,F32)</f>
        <v>108.015</v>
      </c>
      <c r="G8" s="420">
        <f>SUM(G10,G11,G14,G20,G21,G22,G24,G25,G28,G30,G31,G32)</f>
        <v>95.90899999999999</v>
      </c>
      <c r="H8" s="420">
        <f>SUM(H10,H11,H14,H20,H21,H22,H24,H25,H28,H30,H31,H32)</f>
        <v>83.99900000000001</v>
      </c>
      <c r="I8" s="420">
        <f aca="true" t="shared" si="5" ref="I8:U8">SUM(I10,I11,I14,I20,I21,I22,I24,I25,I28,I30,I31,I32)</f>
        <v>77.01400000000001</v>
      </c>
      <c r="J8" s="420">
        <f t="shared" si="5"/>
        <v>74.392</v>
      </c>
      <c r="K8" s="420">
        <f t="shared" si="5"/>
        <v>66.715</v>
      </c>
      <c r="L8" s="420">
        <f t="shared" si="5"/>
        <v>63.956</v>
      </c>
      <c r="M8" s="420">
        <f t="shared" si="5"/>
        <v>60.431999999999995</v>
      </c>
      <c r="N8" s="420">
        <f t="shared" si="5"/>
        <v>59.641999999999996</v>
      </c>
      <c r="O8" s="420">
        <f t="shared" si="5"/>
        <v>61.35199999999999</v>
      </c>
      <c r="P8" s="420">
        <f t="shared" si="5"/>
        <v>58.669649</v>
      </c>
      <c r="Q8" s="420">
        <f t="shared" si="5"/>
        <v>53.82695000000001</v>
      </c>
      <c r="R8" s="420">
        <f t="shared" si="5"/>
        <v>51.924814000000005</v>
      </c>
      <c r="S8" s="420">
        <f t="shared" si="5"/>
        <v>50.916833000000004</v>
      </c>
      <c r="T8" s="420">
        <f t="shared" si="5"/>
        <v>49.57739900000001</v>
      </c>
      <c r="U8" s="420">
        <f t="shared" si="5"/>
        <v>50.334911</v>
      </c>
      <c r="V8" s="420">
        <f>SUM(V10,V11,V14,V20,V21,V22,V24,V25,V28,V30,V31,V32)</f>
        <v>50.050154</v>
      </c>
      <c r="W8" s="420">
        <f>SUM(W10,W11,W14,W20,W21,W22,W24,W25,W28,W30,W31,W32)</f>
        <v>49.33673</v>
      </c>
      <c r="X8" s="420">
        <f>SUM(X10,X11,X14,X20,X21,X22,X24,X25,X28,X30,X31,X32)</f>
        <v>45.950244000000005</v>
      </c>
      <c r="Y8" s="420">
        <f>SUM(Y10,Y11,Y14,Y20,Y21,Y22,Y24,Y25,Y28,Y30,Y31,Y32)</f>
        <v>44.232389999999995</v>
      </c>
      <c r="Z8" s="420">
        <f>SUM(Z10,Z11,Z14,Z20,Z21,Z22,Z24,Z25,Z28,Z30,Z31,Z32)</f>
        <v>44.415</v>
      </c>
      <c r="AA8" s="421">
        <f t="shared" si="4"/>
        <v>0.41284226332785057</v>
      </c>
      <c r="AB8" s="156" t="s">
        <v>163</v>
      </c>
      <c r="AC8" s="417" t="s">
        <v>219</v>
      </c>
    </row>
    <row r="9" spans="1:43" ht="12.75" customHeight="1">
      <c r="A9" s="120"/>
      <c r="B9" s="107" t="s">
        <v>61</v>
      </c>
      <c r="C9" s="422">
        <v>8.26</v>
      </c>
      <c r="D9" s="422">
        <v>6.963</v>
      </c>
      <c r="E9" s="240">
        <v>6.539</v>
      </c>
      <c r="F9" s="240">
        <v>6.77</v>
      </c>
      <c r="G9" s="240">
        <v>6.798</v>
      </c>
      <c r="H9" s="240">
        <v>6.694</v>
      </c>
      <c r="I9" s="240">
        <v>6.638</v>
      </c>
      <c r="J9" s="240">
        <v>6.757</v>
      </c>
      <c r="K9" s="240">
        <v>6.788</v>
      </c>
      <c r="L9" s="240">
        <v>6.98</v>
      </c>
      <c r="M9" s="240">
        <v>7.097</v>
      </c>
      <c r="N9" s="240">
        <v>7.354</v>
      </c>
      <c r="O9" s="240">
        <v>7.734</v>
      </c>
      <c r="P9" s="240">
        <v>8.038</v>
      </c>
      <c r="Q9" s="240">
        <v>8.26</v>
      </c>
      <c r="R9" s="240">
        <v>8.265</v>
      </c>
      <c r="S9" s="240">
        <v>8.676</v>
      </c>
      <c r="T9" s="240">
        <v>9.15</v>
      </c>
      <c r="U9" s="240">
        <v>9.607</v>
      </c>
      <c r="V9" s="240">
        <v>9.932</v>
      </c>
      <c r="W9" s="240">
        <v>10.403</v>
      </c>
      <c r="X9" s="240">
        <v>10.427</v>
      </c>
      <c r="Y9" s="240">
        <f>10.403</f>
        <v>10.403</v>
      </c>
      <c r="Z9" s="233">
        <f>AVERAGE(W9:Y9)</f>
        <v>10.411</v>
      </c>
      <c r="AA9" s="302">
        <f t="shared" si="4"/>
        <v>0.07690089397287547</v>
      </c>
      <c r="AB9" s="107" t="s">
        <v>61</v>
      </c>
      <c r="AC9" s="423" t="s">
        <v>220</v>
      </c>
      <c r="AE9"/>
      <c r="AF9"/>
      <c r="AG9"/>
      <c r="AH9"/>
      <c r="AI9"/>
      <c r="AJ9"/>
      <c r="AK9"/>
      <c r="AL9"/>
      <c r="AM9"/>
      <c r="AN9"/>
      <c r="AO9"/>
      <c r="AP9"/>
      <c r="AQ9"/>
    </row>
    <row r="10" spans="1:43" ht="12.75" customHeight="1">
      <c r="A10" s="120"/>
      <c r="B10" s="154" t="s">
        <v>102</v>
      </c>
      <c r="C10" s="288">
        <v>6.224</v>
      </c>
      <c r="D10" s="288">
        <v>7.055</v>
      </c>
      <c r="E10" s="235">
        <v>7.793</v>
      </c>
      <c r="F10" s="235">
        <v>4.866</v>
      </c>
      <c r="G10" s="235">
        <v>5.393</v>
      </c>
      <c r="H10" s="235">
        <v>5.837</v>
      </c>
      <c r="I10" s="235">
        <v>5.059</v>
      </c>
      <c r="J10" s="235">
        <v>4.693</v>
      </c>
      <c r="K10" s="235">
        <v>5.065</v>
      </c>
      <c r="L10" s="235">
        <v>5.886</v>
      </c>
      <c r="M10" s="235">
        <v>4.74</v>
      </c>
      <c r="N10" s="235">
        <v>3.819</v>
      </c>
      <c r="O10" s="235">
        <v>3.472</v>
      </c>
      <c r="P10" s="235">
        <v>2.99</v>
      </c>
      <c r="Q10" s="235">
        <v>2.598</v>
      </c>
      <c r="R10" s="235">
        <v>2.517</v>
      </c>
      <c r="S10" s="235">
        <v>2.404</v>
      </c>
      <c r="T10" s="235">
        <v>2.389</v>
      </c>
      <c r="U10" s="235">
        <v>2.422</v>
      </c>
      <c r="V10" s="235">
        <v>2.423</v>
      </c>
      <c r="W10" s="235">
        <v>2.335</v>
      </c>
      <c r="X10" s="235">
        <v>2.144</v>
      </c>
      <c r="Y10" s="235">
        <v>2.0997</v>
      </c>
      <c r="Z10" s="235">
        <v>2.068</v>
      </c>
      <c r="AA10" s="303">
        <f t="shared" si="4"/>
        <v>-1.50973948659332</v>
      </c>
      <c r="AB10" s="154" t="s">
        <v>102</v>
      </c>
      <c r="AC10" s="423" t="s">
        <v>221</v>
      </c>
      <c r="AE10"/>
      <c r="AF10"/>
      <c r="AG10"/>
      <c r="AH10"/>
      <c r="AI10"/>
      <c r="AJ10"/>
      <c r="AK10"/>
      <c r="AL10"/>
      <c r="AM10"/>
      <c r="AN10"/>
      <c r="AO10"/>
      <c r="AP10"/>
      <c r="AQ10"/>
    </row>
    <row r="11" spans="1:43" s="214" customFormat="1" ht="12.75" customHeight="1">
      <c r="A11" s="290"/>
      <c r="B11" s="107" t="s">
        <v>62</v>
      </c>
      <c r="C11" s="357"/>
      <c r="D11" s="357"/>
      <c r="E11" s="236">
        <v>13.313</v>
      </c>
      <c r="F11" s="243">
        <v>12.5</v>
      </c>
      <c r="G11" s="236">
        <v>11.147</v>
      </c>
      <c r="H11" s="236">
        <v>8.548</v>
      </c>
      <c r="I11" s="236">
        <v>8.481</v>
      </c>
      <c r="J11" s="236">
        <v>8.023</v>
      </c>
      <c r="K11" s="236">
        <v>8.111</v>
      </c>
      <c r="L11" s="236">
        <v>7.71</v>
      </c>
      <c r="M11" s="236">
        <v>7.001</v>
      </c>
      <c r="N11" s="236">
        <v>6.929</v>
      </c>
      <c r="O11" s="236">
        <v>7.3</v>
      </c>
      <c r="P11" s="236">
        <v>7.299</v>
      </c>
      <c r="Q11" s="236">
        <v>6.597</v>
      </c>
      <c r="R11" s="236">
        <v>6.518</v>
      </c>
      <c r="S11" s="236">
        <v>6.58</v>
      </c>
      <c r="T11" s="236">
        <v>6.667</v>
      </c>
      <c r="U11" s="236">
        <v>6.922</v>
      </c>
      <c r="V11" s="236">
        <v>6.898</v>
      </c>
      <c r="W11" s="236">
        <v>6.8033</v>
      </c>
      <c r="X11" s="236">
        <v>6.5032</v>
      </c>
      <c r="Y11" s="236">
        <v>6.5907</v>
      </c>
      <c r="Z11" s="236">
        <v>6.714</v>
      </c>
      <c r="AA11" s="316">
        <f t="shared" si="4"/>
        <v>1.8708179707770167</v>
      </c>
      <c r="AB11" s="107" t="s">
        <v>62</v>
      </c>
      <c r="AC11" s="423" t="s">
        <v>221</v>
      </c>
      <c r="AE11"/>
      <c r="AF11"/>
      <c r="AG11"/>
      <c r="AH11"/>
      <c r="AI11"/>
      <c r="AJ11"/>
      <c r="AK11"/>
      <c r="AL11"/>
      <c r="AM11"/>
      <c r="AN11"/>
      <c r="AO11"/>
      <c r="AP11"/>
      <c r="AQ11"/>
    </row>
    <row r="12" spans="1:43" ht="12.75" customHeight="1">
      <c r="A12" s="120"/>
      <c r="B12" s="154" t="s">
        <v>14</v>
      </c>
      <c r="C12" s="288">
        <v>3.898</v>
      </c>
      <c r="D12" s="288">
        <v>3.803</v>
      </c>
      <c r="E12" s="235">
        <v>5.051</v>
      </c>
      <c r="F12" s="235">
        <v>4.913</v>
      </c>
      <c r="G12" s="235">
        <v>4.974</v>
      </c>
      <c r="H12" s="235">
        <v>4.939</v>
      </c>
      <c r="I12" s="235">
        <v>5.052</v>
      </c>
      <c r="J12" s="235">
        <v>4.888</v>
      </c>
      <c r="K12" s="235">
        <v>4.821</v>
      </c>
      <c r="L12" s="235">
        <v>5.173</v>
      </c>
      <c r="M12" s="235">
        <v>5.365</v>
      </c>
      <c r="N12" s="235">
        <v>5.31</v>
      </c>
      <c r="O12" s="235">
        <v>5.537</v>
      </c>
      <c r="P12" s="235">
        <v>5.721</v>
      </c>
      <c r="Q12" s="235">
        <f>5.754-0.009</f>
        <v>5.744999999999999</v>
      </c>
      <c r="R12" s="235">
        <f>5.893-0.067</f>
        <v>5.826</v>
      </c>
      <c r="S12" s="235">
        <f>6.074-0.128</f>
        <v>5.946</v>
      </c>
      <c r="T12" s="235">
        <f>6.136-0.162</f>
        <v>5.974</v>
      </c>
      <c r="U12" s="235">
        <f>6.274-0.164</f>
        <v>6.11</v>
      </c>
      <c r="V12" s="235">
        <f>6.353-0.177</f>
        <v>6.176</v>
      </c>
      <c r="W12" s="235">
        <f>6.475-0.195</f>
        <v>6.279999999999999</v>
      </c>
      <c r="X12" s="235">
        <f>6.367-0.215</f>
        <v>6.152</v>
      </c>
      <c r="Y12" s="235">
        <f>6.587-0.239</f>
        <v>6.348</v>
      </c>
      <c r="Z12" s="235">
        <f>6.889-0.278</f>
        <v>6.611000000000001</v>
      </c>
      <c r="AA12" s="303">
        <f t="shared" si="4"/>
        <v>4.143037177063658</v>
      </c>
      <c r="AB12" s="154" t="s">
        <v>14</v>
      </c>
      <c r="AC12" s="423" t="s">
        <v>221</v>
      </c>
      <c r="AE12"/>
      <c r="AF12"/>
      <c r="AG12"/>
      <c r="AH12"/>
      <c r="AI12"/>
      <c r="AJ12"/>
      <c r="AK12"/>
      <c r="AL12"/>
      <c r="AM12"/>
      <c r="AN12"/>
      <c r="AO12"/>
      <c r="AP12"/>
      <c r="AQ12"/>
    </row>
    <row r="13" spans="1:43" s="214" customFormat="1" ht="12.75" customHeight="1">
      <c r="A13" s="290"/>
      <c r="B13" s="107" t="s">
        <v>64</v>
      </c>
      <c r="C13" s="357">
        <v>62.4</v>
      </c>
      <c r="D13" s="357">
        <v>62.499</v>
      </c>
      <c r="E13" s="236">
        <v>61.024</v>
      </c>
      <c r="F13" s="236">
        <v>67.31</v>
      </c>
      <c r="G13" s="356">
        <v>67.55</v>
      </c>
      <c r="H13" s="236">
        <v>63.361</v>
      </c>
      <c r="I13" s="236">
        <v>65.2</v>
      </c>
      <c r="J13" s="236">
        <v>70.977</v>
      </c>
      <c r="K13" s="236">
        <v>71.73</v>
      </c>
      <c r="L13" s="236">
        <v>72.40299999999999</v>
      </c>
      <c r="M13" s="236">
        <v>72.666</v>
      </c>
      <c r="N13" s="236">
        <v>73.79599999999999</v>
      </c>
      <c r="O13" s="236">
        <v>75.404</v>
      </c>
      <c r="P13" s="236">
        <v>75.75399999999999</v>
      </c>
      <c r="Q13" s="236">
        <v>70.819</v>
      </c>
      <c r="R13" s="236">
        <v>71.293</v>
      </c>
      <c r="S13" s="236">
        <v>72.563</v>
      </c>
      <c r="T13" s="236">
        <v>74.946</v>
      </c>
      <c r="U13" s="236">
        <v>78.764</v>
      </c>
      <c r="V13" s="236">
        <v>79.098</v>
      </c>
      <c r="W13" s="236">
        <v>82.428</v>
      </c>
      <c r="X13" s="236">
        <v>81.206</v>
      </c>
      <c r="Y13" s="236">
        <v>83.033</v>
      </c>
      <c r="Z13" s="236">
        <v>84.979</v>
      </c>
      <c r="AA13" s="316">
        <f t="shared" si="4"/>
        <v>2.3436465019931907</v>
      </c>
      <c r="AB13" s="107" t="s">
        <v>64</v>
      </c>
      <c r="AC13" s="423" t="s">
        <v>221</v>
      </c>
      <c r="AE13"/>
      <c r="AF13"/>
      <c r="AG13"/>
      <c r="AH13"/>
      <c r="AI13"/>
      <c r="AJ13"/>
      <c r="AK13"/>
      <c r="AL13"/>
      <c r="AM13"/>
      <c r="AN13"/>
      <c r="AO13"/>
      <c r="AP13"/>
      <c r="AQ13"/>
    </row>
    <row r="14" spans="1:43" ht="12.75" customHeight="1">
      <c r="A14" s="120"/>
      <c r="B14" s="154" t="s">
        <v>65</v>
      </c>
      <c r="C14" s="288">
        <v>1.231</v>
      </c>
      <c r="D14" s="288">
        <v>1.553</v>
      </c>
      <c r="E14" s="235">
        <v>1.51</v>
      </c>
      <c r="F14" s="235">
        <v>1.273</v>
      </c>
      <c r="G14" s="235">
        <v>0.95</v>
      </c>
      <c r="H14" s="235">
        <v>0.722</v>
      </c>
      <c r="I14" s="235">
        <v>0.537</v>
      </c>
      <c r="J14" s="235">
        <v>0.421</v>
      </c>
      <c r="K14" s="235">
        <v>0.309</v>
      </c>
      <c r="L14" s="235">
        <v>0.262</v>
      </c>
      <c r="M14" s="235">
        <v>0.236</v>
      </c>
      <c r="N14" s="235">
        <v>0.238</v>
      </c>
      <c r="O14" s="235">
        <v>0.261</v>
      </c>
      <c r="P14" s="235">
        <v>0.182649</v>
      </c>
      <c r="Q14" s="235">
        <v>0.17695</v>
      </c>
      <c r="R14" s="235">
        <v>0.181814</v>
      </c>
      <c r="S14" s="235">
        <v>0.193133</v>
      </c>
      <c r="T14" s="235">
        <v>0.247899</v>
      </c>
      <c r="U14" s="235">
        <v>0.256811</v>
      </c>
      <c r="V14" s="235">
        <v>0.273554</v>
      </c>
      <c r="W14" s="235">
        <v>0.27373</v>
      </c>
      <c r="X14" s="235">
        <v>0.2491</v>
      </c>
      <c r="Y14" s="235">
        <f>0.2475</f>
        <v>0.2475</v>
      </c>
      <c r="Z14" s="235">
        <f>0.243</f>
        <v>0.243</v>
      </c>
      <c r="AA14" s="303">
        <f t="shared" si="4"/>
        <v>-1.8181818181818188</v>
      </c>
      <c r="AB14" s="154" t="s">
        <v>65</v>
      </c>
      <c r="AC14" s="423" t="s">
        <v>222</v>
      </c>
      <c r="AE14"/>
      <c r="AF14"/>
      <c r="AG14"/>
      <c r="AH14"/>
      <c r="AI14"/>
      <c r="AJ14"/>
      <c r="AK14"/>
      <c r="AL14"/>
      <c r="AM14"/>
      <c r="AN14"/>
      <c r="AO14"/>
      <c r="AP14"/>
      <c r="AQ14"/>
    </row>
    <row r="15" spans="1:43" ht="12.75" customHeight="1">
      <c r="A15" s="120"/>
      <c r="B15" s="107" t="s">
        <v>69</v>
      </c>
      <c r="C15" s="286">
        <v>0.582</v>
      </c>
      <c r="D15" s="286">
        <v>1.032</v>
      </c>
      <c r="E15" s="240">
        <v>1.226</v>
      </c>
      <c r="F15" s="240">
        <v>1.29</v>
      </c>
      <c r="G15" s="240">
        <v>1.226</v>
      </c>
      <c r="H15" s="240">
        <v>1.274</v>
      </c>
      <c r="I15" s="240">
        <v>1.26</v>
      </c>
      <c r="J15" s="240">
        <v>1.291</v>
      </c>
      <c r="K15" s="240">
        <v>1.295</v>
      </c>
      <c r="L15" s="240">
        <v>1.387</v>
      </c>
      <c r="M15" s="240">
        <v>1.421</v>
      </c>
      <c r="N15" s="240">
        <v>1.458</v>
      </c>
      <c r="O15" s="240">
        <v>1.389</v>
      </c>
      <c r="P15" s="240">
        <v>1.515</v>
      </c>
      <c r="Q15" s="240">
        <v>1.628</v>
      </c>
      <c r="R15" s="240">
        <v>1.601</v>
      </c>
      <c r="S15" s="240">
        <v>1.582</v>
      </c>
      <c r="T15" s="240">
        <v>1.781</v>
      </c>
      <c r="U15" s="240">
        <v>1.872</v>
      </c>
      <c r="V15" s="240">
        <v>2.007</v>
      </c>
      <c r="W15" s="240">
        <v>1.976</v>
      </c>
      <c r="X15" s="240">
        <v>1.683</v>
      </c>
      <c r="Y15" s="240">
        <v>1.678</v>
      </c>
      <c r="Z15" s="240">
        <f>1.638</f>
        <v>1.638</v>
      </c>
      <c r="AA15" s="302">
        <f t="shared" si="4"/>
        <v>-2.3837902264600697</v>
      </c>
      <c r="AB15" s="107" t="s">
        <v>69</v>
      </c>
      <c r="AC15" s="423" t="s">
        <v>221</v>
      </c>
      <c r="AE15"/>
      <c r="AF15"/>
      <c r="AG15"/>
      <c r="AH15"/>
      <c r="AI15"/>
      <c r="AJ15"/>
      <c r="AK15"/>
      <c r="AL15"/>
      <c r="AM15"/>
      <c r="AN15"/>
      <c r="AO15"/>
      <c r="AP15"/>
      <c r="AQ15"/>
    </row>
    <row r="16" spans="1:43" ht="12.75" customHeight="1">
      <c r="A16" s="120"/>
      <c r="B16" s="154" t="s">
        <v>15</v>
      </c>
      <c r="C16" s="288">
        <v>1.951</v>
      </c>
      <c r="D16" s="288">
        <v>1.464</v>
      </c>
      <c r="E16" s="235">
        <v>1.977</v>
      </c>
      <c r="F16" s="235">
        <v>1.995</v>
      </c>
      <c r="G16" s="235">
        <v>2.046</v>
      </c>
      <c r="H16" s="235">
        <v>1.726</v>
      </c>
      <c r="I16" s="235">
        <v>1.599</v>
      </c>
      <c r="J16" s="235">
        <v>1.568</v>
      </c>
      <c r="K16" s="235">
        <v>1.751</v>
      </c>
      <c r="L16" s="235">
        <v>1.884</v>
      </c>
      <c r="M16" s="235">
        <v>1.552</v>
      </c>
      <c r="N16" s="235">
        <v>1.583</v>
      </c>
      <c r="O16" s="235">
        <v>1.886</v>
      </c>
      <c r="P16" s="235">
        <v>1.747</v>
      </c>
      <c r="Q16" s="235">
        <v>1.836</v>
      </c>
      <c r="R16" s="235">
        <v>1.574</v>
      </c>
      <c r="S16" s="235">
        <v>1.668</v>
      </c>
      <c r="T16" s="235">
        <v>1.854</v>
      </c>
      <c r="U16" s="235">
        <v>1.811</v>
      </c>
      <c r="V16" s="235">
        <v>1.933</v>
      </c>
      <c r="W16" s="235">
        <v>1.657</v>
      </c>
      <c r="X16" s="235">
        <v>1.414</v>
      </c>
      <c r="Y16" s="235">
        <v>1.337</v>
      </c>
      <c r="Z16" s="235">
        <v>0.958</v>
      </c>
      <c r="AA16" s="303">
        <f t="shared" si="4"/>
        <v>-28.34704562453254</v>
      </c>
      <c r="AB16" s="154" t="s">
        <v>15</v>
      </c>
      <c r="AC16" s="423" t="s">
        <v>221</v>
      </c>
      <c r="AE16"/>
      <c r="AF16"/>
      <c r="AG16"/>
      <c r="AH16"/>
      <c r="AI16"/>
      <c r="AJ16"/>
      <c r="AK16"/>
      <c r="AL16"/>
      <c r="AM16"/>
      <c r="AN16"/>
      <c r="AO16"/>
      <c r="AP16"/>
      <c r="AQ16"/>
    </row>
    <row r="17" spans="1:43" ht="12.75" customHeight="1">
      <c r="A17" s="120"/>
      <c r="B17" s="107" t="s">
        <v>67</v>
      </c>
      <c r="C17" s="286">
        <v>14.013</v>
      </c>
      <c r="D17" s="286">
        <v>13.527</v>
      </c>
      <c r="E17" s="240">
        <v>15.476</v>
      </c>
      <c r="F17" s="240">
        <v>15.022</v>
      </c>
      <c r="G17" s="240">
        <v>16.302</v>
      </c>
      <c r="H17" s="240">
        <v>15.234</v>
      </c>
      <c r="I17" s="240">
        <v>14.853</v>
      </c>
      <c r="J17" s="240">
        <v>16.577</v>
      </c>
      <c r="K17" s="233">
        <v>16.85</v>
      </c>
      <c r="L17" s="233">
        <v>17.83</v>
      </c>
      <c r="M17" s="233">
        <v>18.73</v>
      </c>
      <c r="N17" s="240">
        <v>19.655</v>
      </c>
      <c r="O17" s="240">
        <v>20.144</v>
      </c>
      <c r="P17" s="240">
        <v>20.829</v>
      </c>
      <c r="Q17" s="240">
        <v>21.211</v>
      </c>
      <c r="R17" s="240">
        <v>21.127</v>
      </c>
      <c r="S17" s="240">
        <v>20.386</v>
      </c>
      <c r="T17" s="240">
        <v>21.624</v>
      </c>
      <c r="U17" s="240">
        <v>22.105</v>
      </c>
      <c r="V17" s="240">
        <v>21.857</v>
      </c>
      <c r="W17" s="240">
        <v>23.969</v>
      </c>
      <c r="X17" s="240">
        <v>23.1367</v>
      </c>
      <c r="Y17" s="240">
        <v>22.3851</v>
      </c>
      <c r="Z17" s="240">
        <v>22.795</v>
      </c>
      <c r="AA17" s="302">
        <f t="shared" si="4"/>
        <v>1.8311287418863564</v>
      </c>
      <c r="AB17" s="107" t="s">
        <v>67</v>
      </c>
      <c r="AC17" s="423" t="s">
        <v>221</v>
      </c>
      <c r="AE17"/>
      <c r="AF17"/>
      <c r="AG17"/>
      <c r="AH17"/>
      <c r="AI17"/>
      <c r="AJ17"/>
      <c r="AK17"/>
      <c r="AL17"/>
      <c r="AM17"/>
      <c r="AN17"/>
      <c r="AO17"/>
      <c r="AP17"/>
      <c r="AQ17"/>
    </row>
    <row r="18" spans="1:43" ht="12.75" customHeight="1">
      <c r="A18" s="120"/>
      <c r="B18" s="154" t="s">
        <v>68</v>
      </c>
      <c r="C18" s="288">
        <v>40.979</v>
      </c>
      <c r="D18" s="288">
        <v>54.496</v>
      </c>
      <c r="E18" s="235">
        <v>63.74</v>
      </c>
      <c r="F18" s="235">
        <v>62.37</v>
      </c>
      <c r="G18" s="235">
        <v>62.99</v>
      </c>
      <c r="H18" s="235">
        <v>58.43</v>
      </c>
      <c r="I18" s="235">
        <v>58.94</v>
      </c>
      <c r="J18" s="235">
        <v>55.56</v>
      </c>
      <c r="K18" s="235">
        <v>59.79</v>
      </c>
      <c r="L18" s="235">
        <v>61.78</v>
      </c>
      <c r="M18" s="235">
        <v>64.5</v>
      </c>
      <c r="N18" s="235">
        <v>66.21600000000001</v>
      </c>
      <c r="O18" s="235">
        <v>69.866</v>
      </c>
      <c r="P18" s="235">
        <v>71.504</v>
      </c>
      <c r="Q18" s="235">
        <v>73.534</v>
      </c>
      <c r="R18" s="235">
        <v>71.707</v>
      </c>
      <c r="S18" s="235">
        <v>74.30921160199999</v>
      </c>
      <c r="T18" s="235">
        <v>76.20362413799998</v>
      </c>
      <c r="U18" s="235">
        <v>79.54875806399997</v>
      </c>
      <c r="V18" s="235">
        <v>81.56600115399998</v>
      </c>
      <c r="W18" s="235">
        <v>86.60113503499997</v>
      </c>
      <c r="X18" s="235">
        <v>85.914122803</v>
      </c>
      <c r="Y18" s="235">
        <v>85.897172298</v>
      </c>
      <c r="Z18" s="235">
        <v>89.001541689</v>
      </c>
      <c r="AA18" s="303">
        <f t="shared" si="4"/>
        <v>3.6140530682781113</v>
      </c>
      <c r="AB18" s="154" t="s">
        <v>68</v>
      </c>
      <c r="AC18" s="423" t="s">
        <v>223</v>
      </c>
      <c r="AE18"/>
      <c r="AF18"/>
      <c r="AG18"/>
      <c r="AH18"/>
      <c r="AI18"/>
      <c r="AJ18"/>
      <c r="AK18"/>
      <c r="AL18"/>
      <c r="AM18"/>
      <c r="AN18"/>
      <c r="AO18"/>
      <c r="AP18"/>
      <c r="AQ18"/>
    </row>
    <row r="19" spans="1:43" s="214" customFormat="1" ht="12.75" customHeight="1">
      <c r="A19" s="290"/>
      <c r="B19" s="107" t="s">
        <v>70</v>
      </c>
      <c r="C19" s="357">
        <v>32.457</v>
      </c>
      <c r="D19" s="357">
        <v>39.587</v>
      </c>
      <c r="E19" s="236">
        <v>44.709</v>
      </c>
      <c r="F19" s="236">
        <v>45.065</v>
      </c>
      <c r="G19" s="236">
        <v>44.409</v>
      </c>
      <c r="H19" s="236">
        <v>42.72</v>
      </c>
      <c r="I19" s="356">
        <v>43.375</v>
      </c>
      <c r="J19" s="236">
        <f>43.859+2.792</f>
        <v>46.651</v>
      </c>
      <c r="K19" s="236">
        <f>44.78+2.8</f>
        <v>47.58</v>
      </c>
      <c r="L19" s="236">
        <f>43.591+2.8</f>
        <v>46.391</v>
      </c>
      <c r="M19" s="236">
        <f>41.391+2.8</f>
        <v>44.190999999999995</v>
      </c>
      <c r="N19" s="236">
        <f>43.424+2.878</f>
        <v>46.302</v>
      </c>
      <c r="O19" s="236">
        <f>47.133+2.439</f>
        <v>49.572</v>
      </c>
      <c r="P19" s="236">
        <f>46.752+3.324</f>
        <v>50.076</v>
      </c>
      <c r="Q19" s="236">
        <f>45.956+3.348</f>
        <v>49.304</v>
      </c>
      <c r="R19" s="236">
        <f>45.222+3.475</f>
        <v>48.697</v>
      </c>
      <c r="S19" s="236">
        <f>45.577+3.516+0.16</f>
        <v>49.25299999999999</v>
      </c>
      <c r="T19" s="236">
        <f>46.527+3.809+0.134</f>
        <v>50.47</v>
      </c>
      <c r="U19" s="236">
        <f>47.145+3.716+0.03</f>
        <v>50.891000000000005</v>
      </c>
      <c r="V19" s="236">
        <f>45.985+3.648+0.046</f>
        <v>49.679</v>
      </c>
      <c r="W19" s="238">
        <f>45.766+3.712+0.044</f>
        <v>49.522</v>
      </c>
      <c r="X19" s="238">
        <f>44.404+3.672+0.048</f>
        <v>48.124</v>
      </c>
      <c r="Y19" s="238">
        <f>43.349+0.054+3.882</f>
        <v>47.285</v>
      </c>
      <c r="Z19" s="424">
        <f>39.368+3.915+0.06</f>
        <v>43.343</v>
      </c>
      <c r="AA19" s="316">
        <f t="shared" si="4"/>
        <v>-8.336681822988245</v>
      </c>
      <c r="AB19" s="107" t="s">
        <v>70</v>
      </c>
      <c r="AC19" s="423" t="s">
        <v>224</v>
      </c>
      <c r="AE19"/>
      <c r="AF19"/>
      <c r="AG19"/>
      <c r="AH19"/>
      <c r="AI19"/>
      <c r="AJ19"/>
      <c r="AK19"/>
      <c r="AL19"/>
      <c r="AM19"/>
      <c r="AN19"/>
      <c r="AO19"/>
      <c r="AP19"/>
      <c r="AQ19"/>
    </row>
    <row r="20" spans="1:43" ht="12.75" customHeight="1">
      <c r="A20" s="120"/>
      <c r="B20" s="154" t="s">
        <v>72</v>
      </c>
      <c r="C20" s="393" t="s">
        <v>158</v>
      </c>
      <c r="D20" s="393" t="s">
        <v>158</v>
      </c>
      <c r="E20" s="242" t="s">
        <v>158</v>
      </c>
      <c r="F20" s="242" t="s">
        <v>158</v>
      </c>
      <c r="G20" s="242" t="s">
        <v>158</v>
      </c>
      <c r="H20" s="242" t="s">
        <v>158</v>
      </c>
      <c r="I20" s="242" t="s">
        <v>158</v>
      </c>
      <c r="J20" s="242" t="s">
        <v>158</v>
      </c>
      <c r="K20" s="242" t="s">
        <v>158</v>
      </c>
      <c r="L20" s="242" t="s">
        <v>158</v>
      </c>
      <c r="M20" s="242" t="s">
        <v>158</v>
      </c>
      <c r="N20" s="242" t="s">
        <v>158</v>
      </c>
      <c r="O20" s="242" t="s">
        <v>158</v>
      </c>
      <c r="P20" s="242" t="s">
        <v>158</v>
      </c>
      <c r="Q20" s="242" t="s">
        <v>158</v>
      </c>
      <c r="R20" s="242" t="s">
        <v>158</v>
      </c>
      <c r="S20" s="242" t="s">
        <v>158</v>
      </c>
      <c r="T20" s="242" t="s">
        <v>158</v>
      </c>
      <c r="U20" s="242" t="s">
        <v>158</v>
      </c>
      <c r="V20" s="242" t="s">
        <v>158</v>
      </c>
      <c r="W20" s="242" t="s">
        <v>158</v>
      </c>
      <c r="X20" s="242" t="s">
        <v>158</v>
      </c>
      <c r="Y20" s="242" t="s">
        <v>158</v>
      </c>
      <c r="Z20" s="242">
        <v>0</v>
      </c>
      <c r="AA20" s="396" t="s">
        <v>158</v>
      </c>
      <c r="AB20" s="154" t="s">
        <v>72</v>
      </c>
      <c r="AC20" s="423"/>
      <c r="AE20"/>
      <c r="AF20"/>
      <c r="AG20"/>
      <c r="AH20"/>
      <c r="AI20"/>
      <c r="AJ20"/>
      <c r="AK20"/>
      <c r="AL20"/>
      <c r="AM20"/>
      <c r="AN20"/>
      <c r="AO20"/>
      <c r="AP20"/>
      <c r="AQ20"/>
    </row>
    <row r="21" spans="1:43" s="214" customFormat="1" ht="12.75" customHeight="1">
      <c r="A21" s="290"/>
      <c r="B21" s="107" t="s">
        <v>73</v>
      </c>
      <c r="C21" s="357">
        <v>3.747</v>
      </c>
      <c r="D21" s="357">
        <v>4.687</v>
      </c>
      <c r="E21" s="236">
        <v>5.366</v>
      </c>
      <c r="F21" s="236">
        <v>3.93</v>
      </c>
      <c r="G21" s="236">
        <v>3.656</v>
      </c>
      <c r="H21" s="236">
        <v>2.359</v>
      </c>
      <c r="I21" s="236">
        <v>1.794</v>
      </c>
      <c r="J21" s="236">
        <v>1.373</v>
      </c>
      <c r="K21" s="236">
        <v>1.149</v>
      </c>
      <c r="L21" s="236">
        <v>1.154</v>
      </c>
      <c r="M21" s="236">
        <v>1.059</v>
      </c>
      <c r="N21" s="236">
        <v>0.984</v>
      </c>
      <c r="O21" s="236">
        <v>0.715</v>
      </c>
      <c r="P21" s="236">
        <v>0.706</v>
      </c>
      <c r="Q21" s="236">
        <v>0.744</v>
      </c>
      <c r="R21" s="236">
        <v>0.762</v>
      </c>
      <c r="S21" s="236">
        <v>0.811</v>
      </c>
      <c r="T21" s="236">
        <v>0.894</v>
      </c>
      <c r="U21" s="236">
        <v>0.992</v>
      </c>
      <c r="V21" s="236">
        <v>0.983</v>
      </c>
      <c r="W21" s="236">
        <v>0.951</v>
      </c>
      <c r="X21" s="236">
        <v>0.756</v>
      </c>
      <c r="Y21" s="236">
        <f>0.749</f>
        <v>0.749</v>
      </c>
      <c r="Z21" s="236">
        <v>0.741</v>
      </c>
      <c r="AA21" s="316">
        <f t="shared" si="4"/>
        <v>-1.0680907877169576</v>
      </c>
      <c r="AB21" s="107" t="s">
        <v>73</v>
      </c>
      <c r="AC21" s="423" t="s">
        <v>221</v>
      </c>
      <c r="AE21"/>
      <c r="AF21"/>
      <c r="AG21"/>
      <c r="AH21"/>
      <c r="AI21"/>
      <c r="AJ21"/>
      <c r="AK21"/>
      <c r="AL21"/>
      <c r="AM21"/>
      <c r="AN21"/>
      <c r="AO21"/>
      <c r="AP21"/>
      <c r="AQ21"/>
    </row>
    <row r="22" spans="1:43" ht="12.75" customHeight="1">
      <c r="A22" s="120"/>
      <c r="B22" s="154" t="s">
        <v>74</v>
      </c>
      <c r="C22" s="288">
        <v>2.132</v>
      </c>
      <c r="D22" s="288">
        <v>3.258</v>
      </c>
      <c r="E22" s="235">
        <v>3.64</v>
      </c>
      <c r="F22" s="235">
        <v>3.225</v>
      </c>
      <c r="G22" s="235">
        <v>2.74</v>
      </c>
      <c r="H22" s="235">
        <v>2.7</v>
      </c>
      <c r="I22" s="235">
        <v>1.574</v>
      </c>
      <c r="J22" s="235">
        <v>1.13</v>
      </c>
      <c r="K22" s="235">
        <v>0.954</v>
      </c>
      <c r="L22" s="235">
        <v>0.842</v>
      </c>
      <c r="M22" s="235">
        <v>0.8</v>
      </c>
      <c r="N22" s="235">
        <v>0.745</v>
      </c>
      <c r="O22" s="235">
        <v>0.611</v>
      </c>
      <c r="P22" s="235">
        <v>0.533</v>
      </c>
      <c r="Q22" s="235">
        <v>0.498</v>
      </c>
      <c r="R22" s="235">
        <v>0.432</v>
      </c>
      <c r="S22" s="235">
        <v>0.444</v>
      </c>
      <c r="T22" s="235">
        <v>0.428</v>
      </c>
      <c r="U22" s="235">
        <v>0.431</v>
      </c>
      <c r="V22" s="235">
        <v>0.409</v>
      </c>
      <c r="W22" s="235">
        <v>0.398</v>
      </c>
      <c r="X22" s="235">
        <v>0.356944</v>
      </c>
      <c r="Y22" s="235">
        <f>0.373062</f>
        <v>0.373062</v>
      </c>
      <c r="Z22" s="235">
        <f>0.389</f>
        <v>0.389</v>
      </c>
      <c r="AA22" s="303">
        <f t="shared" si="4"/>
        <v>4.272212125598429</v>
      </c>
      <c r="AB22" s="154" t="s">
        <v>74</v>
      </c>
      <c r="AC22" s="423" t="s">
        <v>221</v>
      </c>
      <c r="AE22"/>
      <c r="AF22"/>
      <c r="AG22"/>
      <c r="AH22"/>
      <c r="AI22"/>
      <c r="AJ22"/>
      <c r="AK22"/>
      <c r="AL22"/>
      <c r="AM22"/>
      <c r="AN22"/>
      <c r="AO22"/>
      <c r="AP22"/>
      <c r="AQ22"/>
    </row>
    <row r="23" spans="1:43" s="214" customFormat="1" ht="12.75" customHeight="1">
      <c r="A23" s="290"/>
      <c r="B23" s="107" t="s">
        <v>77</v>
      </c>
      <c r="C23" s="357">
        <v>0.256</v>
      </c>
      <c r="D23" s="357">
        <v>0.246</v>
      </c>
      <c r="E23" s="236">
        <v>0.208</v>
      </c>
      <c r="F23" s="236">
        <v>0.22</v>
      </c>
      <c r="G23" s="236">
        <v>0.255</v>
      </c>
      <c r="H23" s="236">
        <v>0.262</v>
      </c>
      <c r="I23" s="236">
        <v>0.289</v>
      </c>
      <c r="J23" s="236">
        <v>0.287</v>
      </c>
      <c r="K23" s="236">
        <v>0.284</v>
      </c>
      <c r="L23" s="236">
        <v>0.295</v>
      </c>
      <c r="M23" s="236">
        <v>0.3</v>
      </c>
      <c r="N23" s="236">
        <v>0.31</v>
      </c>
      <c r="O23" s="236">
        <v>0.332</v>
      </c>
      <c r="P23" s="236">
        <v>0.346</v>
      </c>
      <c r="Q23" s="236">
        <v>0.268</v>
      </c>
      <c r="R23" s="236">
        <v>0.262</v>
      </c>
      <c r="S23" s="236">
        <v>0.253</v>
      </c>
      <c r="T23" s="236">
        <v>0.267</v>
      </c>
      <c r="U23" s="236">
        <v>0.298</v>
      </c>
      <c r="V23" s="236">
        <v>0.316</v>
      </c>
      <c r="W23" s="236">
        <v>0.345</v>
      </c>
      <c r="X23" s="236">
        <v>0.333</v>
      </c>
      <c r="Y23" s="236">
        <v>0.347</v>
      </c>
      <c r="Z23" s="236">
        <f>0.349</f>
        <v>0.349</v>
      </c>
      <c r="AA23" s="316">
        <f t="shared" si="4"/>
        <v>0.5763688760807018</v>
      </c>
      <c r="AB23" s="107" t="s">
        <v>77</v>
      </c>
      <c r="AC23" s="423" t="s">
        <v>221</v>
      </c>
      <c r="AE23"/>
      <c r="AF23"/>
      <c r="AG23"/>
      <c r="AH23"/>
      <c r="AI23"/>
      <c r="AJ23"/>
      <c r="AK23"/>
      <c r="AL23"/>
      <c r="AM23"/>
      <c r="AN23"/>
      <c r="AO23"/>
      <c r="AP23"/>
      <c r="AQ23"/>
    </row>
    <row r="24" spans="1:43" ht="12.75" customHeight="1">
      <c r="A24" s="120"/>
      <c r="B24" s="154" t="s">
        <v>78</v>
      </c>
      <c r="C24" s="288">
        <v>16.35</v>
      </c>
      <c r="D24" s="288">
        <v>13.544</v>
      </c>
      <c r="E24" s="235">
        <v>11.403</v>
      </c>
      <c r="F24" s="235">
        <v>9.861</v>
      </c>
      <c r="G24" s="235">
        <v>9.183</v>
      </c>
      <c r="H24" s="235">
        <v>8.432</v>
      </c>
      <c r="I24" s="235">
        <v>8.508</v>
      </c>
      <c r="J24" s="235">
        <v>8.441</v>
      </c>
      <c r="K24" s="235">
        <v>8.582</v>
      </c>
      <c r="L24" s="235">
        <v>8.669</v>
      </c>
      <c r="M24" s="235">
        <v>8.884</v>
      </c>
      <c r="N24" s="235">
        <v>9.514</v>
      </c>
      <c r="O24" s="235">
        <v>9.693</v>
      </c>
      <c r="P24" s="235">
        <v>10.005</v>
      </c>
      <c r="Q24" s="235">
        <v>10.531</v>
      </c>
      <c r="R24" s="235">
        <v>10.286</v>
      </c>
      <c r="S24" s="235">
        <v>10.165</v>
      </c>
      <c r="T24" s="235">
        <v>9.851</v>
      </c>
      <c r="U24" s="235">
        <v>9.658</v>
      </c>
      <c r="V24" s="235">
        <v>8.752</v>
      </c>
      <c r="W24" s="235">
        <v>8.293</v>
      </c>
      <c r="X24" s="235">
        <f>7.681+0.391</f>
        <v>8.072</v>
      </c>
      <c r="Y24" s="235">
        <v>7.692</v>
      </c>
      <c r="Z24" s="235">
        <v>7.806</v>
      </c>
      <c r="AA24" s="303">
        <f t="shared" si="4"/>
        <v>1.4820592823712841</v>
      </c>
      <c r="AB24" s="154" t="s">
        <v>78</v>
      </c>
      <c r="AC24" s="423" t="s">
        <v>225</v>
      </c>
      <c r="AE24"/>
      <c r="AF24"/>
      <c r="AG24"/>
      <c r="AH24"/>
      <c r="AI24"/>
      <c r="AJ24"/>
      <c r="AK24"/>
      <c r="AL24"/>
      <c r="AM24"/>
      <c r="AN24"/>
      <c r="AO24"/>
      <c r="AP24"/>
      <c r="AQ24"/>
    </row>
    <row r="25" spans="1:43" s="214" customFormat="1" ht="12.75" customHeight="1">
      <c r="A25" s="290"/>
      <c r="B25" s="107" t="s">
        <v>79</v>
      </c>
      <c r="C25" s="398" t="s">
        <v>158</v>
      </c>
      <c r="D25" s="398" t="s">
        <v>158</v>
      </c>
      <c r="E25" s="244" t="s">
        <v>158</v>
      </c>
      <c r="F25" s="244" t="s">
        <v>158</v>
      </c>
      <c r="G25" s="244" t="s">
        <v>158</v>
      </c>
      <c r="H25" s="244" t="s">
        <v>158</v>
      </c>
      <c r="I25" s="244" t="s">
        <v>158</v>
      </c>
      <c r="J25" s="244" t="s">
        <v>158</v>
      </c>
      <c r="K25" s="244" t="s">
        <v>158</v>
      </c>
      <c r="L25" s="244" t="s">
        <v>158</v>
      </c>
      <c r="M25" s="244" t="s">
        <v>158</v>
      </c>
      <c r="N25" s="244" t="s">
        <v>158</v>
      </c>
      <c r="O25" s="244" t="s">
        <v>158</v>
      </c>
      <c r="P25" s="244" t="s">
        <v>158</v>
      </c>
      <c r="Q25" s="244" t="s">
        <v>158</v>
      </c>
      <c r="R25" s="244" t="s">
        <v>158</v>
      </c>
      <c r="S25" s="244" t="s">
        <v>158</v>
      </c>
      <c r="T25" s="244" t="s">
        <v>158</v>
      </c>
      <c r="U25" s="244" t="s">
        <v>158</v>
      </c>
      <c r="V25" s="244" t="s">
        <v>158</v>
      </c>
      <c r="W25" s="244" t="s">
        <v>158</v>
      </c>
      <c r="X25" s="244" t="s">
        <v>158</v>
      </c>
      <c r="Y25" s="244" t="s">
        <v>158</v>
      </c>
      <c r="Z25" s="244">
        <v>0</v>
      </c>
      <c r="AA25" s="399" t="s">
        <v>158</v>
      </c>
      <c r="AB25" s="107" t="s">
        <v>79</v>
      </c>
      <c r="AC25" s="423"/>
      <c r="AE25"/>
      <c r="AF25"/>
      <c r="AG25"/>
      <c r="AH25"/>
      <c r="AI25"/>
      <c r="AJ25"/>
      <c r="AK25"/>
      <c r="AL25"/>
      <c r="AM25"/>
      <c r="AN25"/>
      <c r="AO25"/>
      <c r="AP25"/>
      <c r="AQ25"/>
    </row>
    <row r="26" spans="1:43" ht="12.75" customHeight="1">
      <c r="A26" s="120"/>
      <c r="B26" s="154" t="s">
        <v>16</v>
      </c>
      <c r="C26" s="288">
        <v>8.011</v>
      </c>
      <c r="D26" s="288">
        <v>8.91</v>
      </c>
      <c r="E26" s="235">
        <v>11.06</v>
      </c>
      <c r="F26" s="235">
        <v>15.195</v>
      </c>
      <c r="G26" s="235">
        <v>15.35</v>
      </c>
      <c r="H26" s="235">
        <v>15.245</v>
      </c>
      <c r="I26" s="235">
        <v>14.439</v>
      </c>
      <c r="J26" s="235">
        <v>16.35</v>
      </c>
      <c r="K26" s="235">
        <v>14.092</v>
      </c>
      <c r="L26" s="235">
        <v>13.875</v>
      </c>
      <c r="M26" s="235">
        <v>14.107</v>
      </c>
      <c r="N26" s="235">
        <v>14.281</v>
      </c>
      <c r="O26" s="235">
        <v>14.666</v>
      </c>
      <c r="P26" s="235">
        <v>14.392</v>
      </c>
      <c r="Q26" s="235">
        <v>14.288</v>
      </c>
      <c r="R26" s="235">
        <v>13.848</v>
      </c>
      <c r="S26" s="235">
        <v>14.509</v>
      </c>
      <c r="T26" s="235">
        <v>15.153</v>
      </c>
      <c r="U26" s="235">
        <v>15.889</v>
      </c>
      <c r="V26" s="235">
        <v>15.546</v>
      </c>
      <c r="W26" s="235">
        <v>15.313</v>
      </c>
      <c r="X26" s="235">
        <v>15.4</v>
      </c>
      <c r="Y26" s="235">
        <v>15.4</v>
      </c>
      <c r="Z26" s="235">
        <v>15.748</v>
      </c>
      <c r="AA26" s="303">
        <f t="shared" si="4"/>
        <v>2.2597402597402505</v>
      </c>
      <c r="AB26" s="154" t="s">
        <v>16</v>
      </c>
      <c r="AC26" s="423" t="s">
        <v>226</v>
      </c>
      <c r="AE26"/>
      <c r="AF26"/>
      <c r="AG26"/>
      <c r="AH26"/>
      <c r="AI26"/>
      <c r="AJ26"/>
      <c r="AK26"/>
      <c r="AL26"/>
      <c r="AM26"/>
      <c r="AN26"/>
      <c r="AO26"/>
      <c r="AP26"/>
      <c r="AQ26"/>
    </row>
    <row r="27" spans="1:43" s="214" customFormat="1" ht="12.75" customHeight="1">
      <c r="A27" s="290"/>
      <c r="B27" s="107" t="s">
        <v>82</v>
      </c>
      <c r="C27" s="357">
        <v>6.438</v>
      </c>
      <c r="D27" s="357">
        <v>7.586</v>
      </c>
      <c r="E27" s="236">
        <v>8.912</v>
      </c>
      <c r="F27" s="236">
        <v>9.59</v>
      </c>
      <c r="G27" s="236">
        <v>9.957</v>
      </c>
      <c r="H27" s="236">
        <v>9.764</v>
      </c>
      <c r="I27" s="236">
        <v>9.949</v>
      </c>
      <c r="J27" s="236">
        <v>10.124</v>
      </c>
      <c r="K27" s="236">
        <v>10.222</v>
      </c>
      <c r="L27" s="236">
        <v>8.709</v>
      </c>
      <c r="M27" s="236">
        <v>8.537</v>
      </c>
      <c r="N27" s="236">
        <v>8.554</v>
      </c>
      <c r="O27" s="236">
        <v>8.73978502490829</v>
      </c>
      <c r="P27" s="236">
        <v>8.76093130944158</v>
      </c>
      <c r="Q27" s="236">
        <v>8.80985261380452</v>
      </c>
      <c r="R27" s="236">
        <v>8.6731335633535</v>
      </c>
      <c r="S27" s="236">
        <v>8.7039</v>
      </c>
      <c r="T27" s="236">
        <v>9.508</v>
      </c>
      <c r="U27" s="236">
        <v>9.2962</v>
      </c>
      <c r="V27" s="236">
        <v>9.5797</v>
      </c>
      <c r="W27" s="236">
        <v>10.8373</v>
      </c>
      <c r="X27" s="236">
        <v>10.6534</v>
      </c>
      <c r="Y27" s="236">
        <f>10.737</f>
        <v>10.737</v>
      </c>
      <c r="Z27" s="236">
        <v>10.876</v>
      </c>
      <c r="AA27" s="316">
        <f t="shared" si="4"/>
        <v>1.2945888050665877</v>
      </c>
      <c r="AB27" s="107" t="s">
        <v>82</v>
      </c>
      <c r="AC27" s="423" t="s">
        <v>227</v>
      </c>
      <c r="AE27"/>
      <c r="AF27"/>
      <c r="AG27"/>
      <c r="AH27"/>
      <c r="AI27"/>
      <c r="AJ27"/>
      <c r="AK27"/>
      <c r="AL27"/>
      <c r="AM27"/>
      <c r="AN27"/>
      <c r="AO27"/>
      <c r="AP27"/>
      <c r="AQ27"/>
    </row>
    <row r="28" spans="1:43" ht="12.75" customHeight="1">
      <c r="A28" s="120"/>
      <c r="B28" s="154" t="s">
        <v>81</v>
      </c>
      <c r="C28" s="288">
        <v>36.891</v>
      </c>
      <c r="D28" s="288">
        <v>46.324</v>
      </c>
      <c r="E28" s="235">
        <v>50.373</v>
      </c>
      <c r="F28" s="235">
        <v>40.115</v>
      </c>
      <c r="G28" s="235">
        <v>32.571</v>
      </c>
      <c r="H28" s="235">
        <v>30.864</v>
      </c>
      <c r="I28" s="235">
        <v>27.61</v>
      </c>
      <c r="J28" s="235">
        <v>26.635</v>
      </c>
      <c r="K28" s="235">
        <v>19.807</v>
      </c>
      <c r="L28" s="235">
        <v>19.928</v>
      </c>
      <c r="M28" s="235">
        <v>20.553</v>
      </c>
      <c r="N28" s="235">
        <v>21.518</v>
      </c>
      <c r="O28" s="235">
        <v>24.093</v>
      </c>
      <c r="P28" s="235">
        <v>22.469</v>
      </c>
      <c r="Q28" s="235">
        <v>20.749</v>
      </c>
      <c r="R28" s="235">
        <v>19.638</v>
      </c>
      <c r="S28" s="235">
        <v>18.6897</v>
      </c>
      <c r="T28" s="235">
        <v>18.1565</v>
      </c>
      <c r="U28" s="235">
        <v>18.5521</v>
      </c>
      <c r="V28" s="235">
        <v>19.8586</v>
      </c>
      <c r="W28" s="235">
        <v>20.1947</v>
      </c>
      <c r="X28" s="235">
        <v>18.637</v>
      </c>
      <c r="Y28" s="235">
        <f>17.921</f>
        <v>17.921</v>
      </c>
      <c r="Z28" s="235">
        <v>18.177</v>
      </c>
      <c r="AA28" s="303">
        <f t="shared" si="4"/>
        <v>1.428491713632063</v>
      </c>
      <c r="AB28" s="154" t="s">
        <v>81</v>
      </c>
      <c r="AC28" s="423" t="s">
        <v>221</v>
      </c>
      <c r="AE28"/>
      <c r="AF28"/>
      <c r="AG28"/>
      <c r="AH28"/>
      <c r="AI28"/>
      <c r="AJ28"/>
      <c r="AK28"/>
      <c r="AL28"/>
      <c r="AM28"/>
      <c r="AN28"/>
      <c r="AO28"/>
      <c r="AP28"/>
      <c r="AQ28"/>
    </row>
    <row r="29" spans="1:43" s="214" customFormat="1" ht="12.75" customHeight="1">
      <c r="A29" s="290"/>
      <c r="B29" s="107" t="s">
        <v>93</v>
      </c>
      <c r="C29" s="357">
        <v>3.546</v>
      </c>
      <c r="D29" s="357">
        <v>6.076</v>
      </c>
      <c r="E29" s="236">
        <v>5.664</v>
      </c>
      <c r="F29" s="236">
        <v>5.692</v>
      </c>
      <c r="G29" s="236">
        <v>5.694</v>
      </c>
      <c r="H29" s="236">
        <v>5.397</v>
      </c>
      <c r="I29" s="236">
        <v>5.11</v>
      </c>
      <c r="J29" s="236">
        <v>4.809</v>
      </c>
      <c r="K29" s="236">
        <v>4.502</v>
      </c>
      <c r="L29" s="236">
        <v>4.568</v>
      </c>
      <c r="M29" s="236">
        <v>4.601</v>
      </c>
      <c r="N29" s="236">
        <v>4.329</v>
      </c>
      <c r="O29" s="243">
        <v>4.032</v>
      </c>
      <c r="P29" s="243">
        <v>3.992</v>
      </c>
      <c r="Q29" s="236">
        <v>3.925</v>
      </c>
      <c r="R29" s="236">
        <v>3.753</v>
      </c>
      <c r="S29" s="236">
        <v>3.693</v>
      </c>
      <c r="T29" s="236">
        <v>3.809</v>
      </c>
      <c r="U29" s="236">
        <v>3.876</v>
      </c>
      <c r="V29" s="236">
        <v>3.987</v>
      </c>
      <c r="W29" s="236">
        <v>4.213</v>
      </c>
      <c r="X29" s="236">
        <v>4.152</v>
      </c>
      <c r="Y29" s="236">
        <v>4.111</v>
      </c>
      <c r="Z29" s="236">
        <v>4.143</v>
      </c>
      <c r="AA29" s="316">
        <f t="shared" si="4"/>
        <v>0.7783994162004371</v>
      </c>
      <c r="AB29" s="107" t="s">
        <v>93</v>
      </c>
      <c r="AC29" s="423" t="s">
        <v>221</v>
      </c>
      <c r="AE29"/>
      <c r="AF29"/>
      <c r="AG29"/>
      <c r="AH29"/>
      <c r="AI29"/>
      <c r="AJ29"/>
      <c r="AK29"/>
      <c r="AL29"/>
      <c r="AM29"/>
      <c r="AN29"/>
      <c r="AO29"/>
      <c r="AP29"/>
      <c r="AQ29"/>
    </row>
    <row r="30" spans="1:43" ht="12.75" customHeight="1">
      <c r="A30" s="120"/>
      <c r="B30" s="154" t="s">
        <v>103</v>
      </c>
      <c r="C30" s="288">
        <v>17.793</v>
      </c>
      <c r="D30" s="288">
        <v>23.22</v>
      </c>
      <c r="E30" s="235">
        <v>30.582</v>
      </c>
      <c r="F30" s="235">
        <v>25.429</v>
      </c>
      <c r="G30" s="235">
        <v>24.269</v>
      </c>
      <c r="H30" s="235">
        <v>19.402</v>
      </c>
      <c r="I30" s="235">
        <v>18.313</v>
      </c>
      <c r="J30" s="235">
        <v>18.879</v>
      </c>
      <c r="K30" s="235">
        <v>18.356</v>
      </c>
      <c r="L30" s="235">
        <v>15.794</v>
      </c>
      <c r="M30" s="235">
        <v>13.422</v>
      </c>
      <c r="N30" s="235">
        <v>12.304</v>
      </c>
      <c r="O30" s="235">
        <v>11.632</v>
      </c>
      <c r="P30" s="235">
        <v>10.965</v>
      </c>
      <c r="Q30" s="235">
        <v>8.502</v>
      </c>
      <c r="R30" s="235">
        <v>8.497</v>
      </c>
      <c r="S30" s="235">
        <v>8.638</v>
      </c>
      <c r="T30" s="235">
        <v>7.985</v>
      </c>
      <c r="U30" s="235">
        <v>8.092</v>
      </c>
      <c r="V30" s="235">
        <v>7.476</v>
      </c>
      <c r="W30" s="235">
        <f>6.958</f>
        <v>6.958</v>
      </c>
      <c r="X30" s="235">
        <v>6.128</v>
      </c>
      <c r="Y30" s="235">
        <v>5.437428</v>
      </c>
      <c r="Z30" s="235">
        <v>5.073</v>
      </c>
      <c r="AA30" s="303">
        <f t="shared" si="4"/>
        <v>-6.702212884474045</v>
      </c>
      <c r="AB30" s="154" t="s">
        <v>103</v>
      </c>
      <c r="AC30" s="423" t="s">
        <v>221</v>
      </c>
      <c r="AE30"/>
      <c r="AF30"/>
      <c r="AG30"/>
      <c r="AH30"/>
      <c r="AI30"/>
      <c r="AJ30"/>
      <c r="AK30"/>
      <c r="AL30"/>
      <c r="AM30"/>
      <c r="AN30"/>
      <c r="AO30"/>
      <c r="AP30"/>
      <c r="AQ30"/>
    </row>
    <row r="31" spans="1:43" ht="12.75" customHeight="1">
      <c r="A31" s="120"/>
      <c r="B31" s="107" t="s">
        <v>84</v>
      </c>
      <c r="C31" s="286">
        <v>1.38</v>
      </c>
      <c r="D31" s="286">
        <v>1.436</v>
      </c>
      <c r="E31" s="240">
        <v>1.429</v>
      </c>
      <c r="F31" s="240">
        <v>0.814</v>
      </c>
      <c r="G31" s="240">
        <v>0.547</v>
      </c>
      <c r="H31" s="240">
        <v>0.566</v>
      </c>
      <c r="I31" s="240">
        <v>0.59</v>
      </c>
      <c r="J31" s="240">
        <v>0.595</v>
      </c>
      <c r="K31" s="240">
        <v>0.613</v>
      </c>
      <c r="L31" s="240">
        <v>0.616</v>
      </c>
      <c r="M31" s="240">
        <v>0.645</v>
      </c>
      <c r="N31" s="240">
        <v>0.623</v>
      </c>
      <c r="O31" s="240">
        <v>0.705</v>
      </c>
      <c r="P31" s="240">
        <v>0.715</v>
      </c>
      <c r="Q31" s="240">
        <v>0.749</v>
      </c>
      <c r="R31" s="240">
        <v>0.777</v>
      </c>
      <c r="S31" s="240">
        <v>0.764</v>
      </c>
      <c r="T31" s="240">
        <v>0.777</v>
      </c>
      <c r="U31" s="240">
        <v>0.796</v>
      </c>
      <c r="V31" s="240">
        <v>0.812</v>
      </c>
      <c r="W31" s="240">
        <v>0.834</v>
      </c>
      <c r="X31" s="240">
        <v>0.84</v>
      </c>
      <c r="Y31" s="240">
        <v>0.813</v>
      </c>
      <c r="Z31" s="240">
        <v>0.773</v>
      </c>
      <c r="AA31" s="302">
        <f t="shared" si="4"/>
        <v>-4.920049200491993</v>
      </c>
      <c r="AB31" s="107" t="s">
        <v>84</v>
      </c>
      <c r="AC31" s="423" t="s">
        <v>221</v>
      </c>
      <c r="AE31"/>
      <c r="AF31"/>
      <c r="AG31"/>
      <c r="AH31"/>
      <c r="AI31"/>
      <c r="AJ31"/>
      <c r="AK31"/>
      <c r="AL31"/>
      <c r="AM31"/>
      <c r="AN31"/>
      <c r="AO31"/>
      <c r="AP31"/>
      <c r="AQ31"/>
    </row>
    <row r="32" spans="1:43" ht="12.75" customHeight="1">
      <c r="A32" s="120"/>
      <c r="B32" s="154" t="s">
        <v>86</v>
      </c>
      <c r="C32" s="288"/>
      <c r="D32" s="288"/>
      <c r="E32" s="235">
        <v>6.381</v>
      </c>
      <c r="F32" s="235">
        <v>6.002</v>
      </c>
      <c r="G32" s="235">
        <v>5.453</v>
      </c>
      <c r="H32" s="235">
        <v>4.569</v>
      </c>
      <c r="I32" s="235">
        <v>4.548</v>
      </c>
      <c r="J32" s="235">
        <v>4.202</v>
      </c>
      <c r="K32" s="235">
        <v>3.769</v>
      </c>
      <c r="L32" s="235">
        <v>3.095</v>
      </c>
      <c r="M32" s="235">
        <v>3.092</v>
      </c>
      <c r="N32" s="235">
        <v>2.968</v>
      </c>
      <c r="O32" s="235">
        <v>2.87</v>
      </c>
      <c r="P32" s="235">
        <v>2.805</v>
      </c>
      <c r="Q32" s="235">
        <v>2.682</v>
      </c>
      <c r="R32" s="235">
        <v>2.316</v>
      </c>
      <c r="S32" s="235">
        <v>2.228</v>
      </c>
      <c r="T32" s="235">
        <v>2.182</v>
      </c>
      <c r="U32" s="235">
        <v>2.213</v>
      </c>
      <c r="V32" s="235">
        <v>2.165</v>
      </c>
      <c r="W32" s="235">
        <v>2.296</v>
      </c>
      <c r="X32" s="235">
        <v>2.264</v>
      </c>
      <c r="Y32" s="235">
        <v>2.309</v>
      </c>
      <c r="Z32" s="235">
        <f>2.431</f>
        <v>2.431</v>
      </c>
      <c r="AA32" s="303">
        <f t="shared" si="4"/>
        <v>5.28367258553486</v>
      </c>
      <c r="AB32" s="154" t="s">
        <v>86</v>
      </c>
      <c r="AC32" s="423" t="s">
        <v>221</v>
      </c>
      <c r="AE32"/>
      <c r="AF32"/>
      <c r="AG32"/>
      <c r="AH32"/>
      <c r="AI32"/>
      <c r="AJ32"/>
      <c r="AK32"/>
      <c r="AL32"/>
      <c r="AM32"/>
      <c r="AN32"/>
      <c r="AO32"/>
      <c r="AP32"/>
      <c r="AQ32"/>
    </row>
    <row r="33" spans="1:43" ht="12.75" customHeight="1">
      <c r="A33" s="120"/>
      <c r="B33" s="107" t="s">
        <v>88</v>
      </c>
      <c r="C33" s="286">
        <v>2.156</v>
      </c>
      <c r="D33" s="286">
        <v>3.216</v>
      </c>
      <c r="E33" s="240">
        <v>3.331</v>
      </c>
      <c r="F33" s="240">
        <v>3.23</v>
      </c>
      <c r="G33" s="240">
        <v>3.057</v>
      </c>
      <c r="H33" s="240">
        <v>3.007</v>
      </c>
      <c r="I33" s="240">
        <v>3.037</v>
      </c>
      <c r="J33" s="240">
        <v>3.184</v>
      </c>
      <c r="K33" s="240">
        <v>3.254</v>
      </c>
      <c r="L33" s="240">
        <v>3.376</v>
      </c>
      <c r="M33" s="240">
        <v>3.377</v>
      </c>
      <c r="N33" s="240">
        <v>3.415</v>
      </c>
      <c r="O33" s="240">
        <v>3.405</v>
      </c>
      <c r="P33" s="240">
        <v>3.282</v>
      </c>
      <c r="Q33" s="240">
        <v>3.318</v>
      </c>
      <c r="R33" s="240">
        <v>3.338</v>
      </c>
      <c r="S33" s="240">
        <v>3.352</v>
      </c>
      <c r="T33" s="240">
        <v>3.478</v>
      </c>
      <c r="U33" s="240">
        <v>3.5</v>
      </c>
      <c r="V33" s="240">
        <v>3.778</v>
      </c>
      <c r="W33" s="240">
        <v>4.052</v>
      </c>
      <c r="X33" s="240">
        <v>3.876</v>
      </c>
      <c r="Y33" s="240">
        <f>3.959</f>
        <v>3.959</v>
      </c>
      <c r="Z33" s="240">
        <f>3.882</f>
        <v>3.882</v>
      </c>
      <c r="AA33" s="302">
        <f t="shared" si="4"/>
        <v>-1.9449355897954046</v>
      </c>
      <c r="AB33" s="107" t="s">
        <v>88</v>
      </c>
      <c r="AC33" s="423" t="s">
        <v>221</v>
      </c>
      <c r="AE33"/>
      <c r="AF33"/>
      <c r="AG33"/>
      <c r="AH33"/>
      <c r="AI33"/>
      <c r="AJ33"/>
      <c r="AK33"/>
      <c r="AL33"/>
      <c r="AM33"/>
      <c r="AN33"/>
      <c r="AO33"/>
      <c r="AP33"/>
      <c r="AQ33"/>
    </row>
    <row r="34" spans="1:43" ht="12.75" customHeight="1">
      <c r="A34" s="120"/>
      <c r="B34" s="154" t="s">
        <v>89</v>
      </c>
      <c r="C34" s="288">
        <v>4.64</v>
      </c>
      <c r="D34" s="288">
        <v>6.998</v>
      </c>
      <c r="E34" s="235">
        <v>6.6</v>
      </c>
      <c r="F34" s="235">
        <v>5.985</v>
      </c>
      <c r="G34" s="235">
        <v>5.963</v>
      </c>
      <c r="H34" s="235">
        <v>6.422</v>
      </c>
      <c r="I34" s="235">
        <v>6.507</v>
      </c>
      <c r="J34" s="235">
        <v>6.839</v>
      </c>
      <c r="K34" s="235">
        <v>6.97</v>
      </c>
      <c r="L34" s="235">
        <v>7.039</v>
      </c>
      <c r="M34" s="235">
        <v>7.23</v>
      </c>
      <c r="N34" s="235">
        <v>7.701</v>
      </c>
      <c r="O34" s="235">
        <v>8.243</v>
      </c>
      <c r="P34" s="235">
        <v>8.732</v>
      </c>
      <c r="Q34" s="235">
        <v>8.874</v>
      </c>
      <c r="R34" s="235">
        <v>8.834</v>
      </c>
      <c r="S34" s="235">
        <v>8.658</v>
      </c>
      <c r="T34" s="235">
        <v>8.936</v>
      </c>
      <c r="U34" s="235">
        <v>9.617</v>
      </c>
      <c r="V34" s="235">
        <v>10.261</v>
      </c>
      <c r="W34" s="235">
        <v>11.146</v>
      </c>
      <c r="X34" s="235">
        <v>11.321</v>
      </c>
      <c r="Y34" s="235">
        <v>11.219</v>
      </c>
      <c r="Z34" s="235">
        <v>11.378</v>
      </c>
      <c r="AA34" s="303">
        <f t="shared" si="4"/>
        <v>1.4172386130671288</v>
      </c>
      <c r="AB34" s="154" t="s">
        <v>89</v>
      </c>
      <c r="AC34" s="423" t="s">
        <v>228</v>
      </c>
      <c r="AE34"/>
      <c r="AF34"/>
      <c r="AG34"/>
      <c r="AH34"/>
      <c r="AI34"/>
      <c r="AJ34"/>
      <c r="AK34"/>
      <c r="AL34"/>
      <c r="AM34"/>
      <c r="AN34"/>
      <c r="AO34"/>
      <c r="AP34"/>
      <c r="AQ34"/>
    </row>
    <row r="35" spans="1:43" ht="12.75" customHeight="1" thickBot="1">
      <c r="A35" s="120"/>
      <c r="B35" s="109" t="s">
        <v>13</v>
      </c>
      <c r="C35" s="425">
        <v>30.6</v>
      </c>
      <c r="D35" s="425">
        <v>30.5</v>
      </c>
      <c r="E35" s="426">
        <v>33.4</v>
      </c>
      <c r="F35" s="247">
        <v>32.7</v>
      </c>
      <c r="G35" s="247">
        <v>31.9</v>
      </c>
      <c r="H35" s="247">
        <v>30.6</v>
      </c>
      <c r="I35" s="247">
        <v>28.9</v>
      </c>
      <c r="J35" s="247">
        <f>30.039+0.2317</f>
        <v>30.2707</v>
      </c>
      <c r="K35" s="247">
        <f>32.135+0.2128</f>
        <v>32.3478</v>
      </c>
      <c r="L35" s="247">
        <f>34.66+0.2256</f>
        <v>34.8856</v>
      </c>
      <c r="M35" s="247">
        <f>36.28+0.2172</f>
        <v>36.4972</v>
      </c>
      <c r="N35" s="247">
        <f>38.472+0.2217</f>
        <v>38.6937</v>
      </c>
      <c r="O35" s="247">
        <f>38.179+0.2271</f>
        <v>38.4061</v>
      </c>
      <c r="P35" s="247">
        <f>39.141+0.2397</f>
        <v>39.3807</v>
      </c>
      <c r="Q35" s="247">
        <f>39.687+0.2363</f>
        <v>39.9233</v>
      </c>
      <c r="R35" s="247">
        <f>40.931+0.233</f>
        <v>41.163999999999994</v>
      </c>
      <c r="S35" s="247">
        <v>43.348</v>
      </c>
      <c r="T35" s="247">
        <v>44.415</v>
      </c>
      <c r="U35" s="247">
        <v>47.037</v>
      </c>
      <c r="V35" s="247">
        <v>50.171</v>
      </c>
      <c r="W35" s="247">
        <v>53.002</v>
      </c>
      <c r="X35" s="247">
        <v>52.765</v>
      </c>
      <c r="Y35" s="247">
        <v>55.831</v>
      </c>
      <c r="Z35" s="247">
        <f>56.617</f>
        <v>56.617</v>
      </c>
      <c r="AA35" s="322">
        <f t="shared" si="4"/>
        <v>1.4078200282996889</v>
      </c>
      <c r="AB35" s="109" t="s">
        <v>13</v>
      </c>
      <c r="AC35" s="423" t="s">
        <v>222</v>
      </c>
      <c r="AE35"/>
      <c r="AF35"/>
      <c r="AG35"/>
      <c r="AH35"/>
      <c r="AI35"/>
      <c r="AJ35"/>
      <c r="AK35"/>
      <c r="AL35"/>
      <c r="AM35"/>
      <c r="AN35"/>
      <c r="AO35"/>
      <c r="AP35"/>
      <c r="AQ35"/>
    </row>
    <row r="36" spans="1:43" ht="12.75" customHeight="1">
      <c r="A36" s="120"/>
      <c r="B36" s="154" t="s">
        <v>164</v>
      </c>
      <c r="C36" s="288">
        <v>3.732</v>
      </c>
      <c r="D36" s="288">
        <v>3.619</v>
      </c>
      <c r="E36" s="235">
        <v>3.429</v>
      </c>
      <c r="F36" s="235">
        <v>1.427</v>
      </c>
      <c r="G36" s="235">
        <v>1.145</v>
      </c>
      <c r="H36" s="235">
        <v>1.094</v>
      </c>
      <c r="I36" s="235">
        <v>1.182</v>
      </c>
      <c r="J36" s="235">
        <v>1.139</v>
      </c>
      <c r="K36" s="235">
        <v>1.205</v>
      </c>
      <c r="L36" s="235">
        <v>1.158</v>
      </c>
      <c r="M36" s="235">
        <v>1.092</v>
      </c>
      <c r="N36" s="235">
        <v>1.137</v>
      </c>
      <c r="O36" s="235">
        <v>1.252</v>
      </c>
      <c r="P36" s="235">
        <v>1.241</v>
      </c>
      <c r="Q36" s="235">
        <v>1.195</v>
      </c>
      <c r="R36" s="235">
        <v>1.163</v>
      </c>
      <c r="S36" s="235">
        <v>1.213</v>
      </c>
      <c r="T36" s="235">
        <v>1.266</v>
      </c>
      <c r="U36" s="235">
        <v>1.362</v>
      </c>
      <c r="V36" s="235">
        <v>1.611</v>
      </c>
      <c r="W36" s="235">
        <v>1.81</v>
      </c>
      <c r="X36" s="235">
        <v>1.835</v>
      </c>
      <c r="Y36" s="235">
        <f>1.742</f>
        <v>1.742</v>
      </c>
      <c r="Z36" s="427">
        <f>1.486</f>
        <v>1.486</v>
      </c>
      <c r="AA36" s="303">
        <f t="shared" si="4"/>
        <v>-14.695752009184847</v>
      </c>
      <c r="AB36" s="154" t="s">
        <v>164</v>
      </c>
      <c r="AC36" s="423" t="s">
        <v>221</v>
      </c>
      <c r="AE36"/>
      <c r="AF36"/>
      <c r="AG36"/>
      <c r="AH36"/>
      <c r="AI36"/>
      <c r="AJ36"/>
      <c r="AK36"/>
      <c r="AL36"/>
      <c r="AM36"/>
      <c r="AN36"/>
      <c r="AO36"/>
      <c r="AP36"/>
      <c r="AQ36"/>
    </row>
    <row r="37" spans="1:43" s="214" customFormat="1" ht="12.75" customHeight="1">
      <c r="A37" s="290"/>
      <c r="B37" s="107" t="s">
        <v>165</v>
      </c>
      <c r="C37" s="354"/>
      <c r="D37" s="354"/>
      <c r="E37" s="355"/>
      <c r="F37" s="236"/>
      <c r="G37" s="236"/>
      <c r="H37" s="236"/>
      <c r="I37" s="236"/>
      <c r="J37" s="243">
        <v>0.1</v>
      </c>
      <c r="K37" s="243">
        <v>0.1</v>
      </c>
      <c r="L37" s="243">
        <v>0.1</v>
      </c>
      <c r="M37" s="243">
        <v>0.1</v>
      </c>
      <c r="N37" s="243">
        <v>0.1</v>
      </c>
      <c r="O37" s="243">
        <v>0.1</v>
      </c>
      <c r="P37" s="236">
        <v>0.133</v>
      </c>
      <c r="Q37" s="236">
        <v>0.098</v>
      </c>
      <c r="R37" s="236">
        <v>0.092</v>
      </c>
      <c r="S37" s="236">
        <v>0.094</v>
      </c>
      <c r="T37" s="236">
        <v>0.094</v>
      </c>
      <c r="U37" s="236">
        <v>0.105</v>
      </c>
      <c r="V37" s="236">
        <v>0.109</v>
      </c>
      <c r="W37" s="236">
        <v>0.148</v>
      </c>
      <c r="X37" s="236">
        <v>0.154</v>
      </c>
      <c r="Y37" s="236">
        <f>0.155</f>
        <v>0.155</v>
      </c>
      <c r="Z37" s="241">
        <f>0.145</f>
        <v>0.145</v>
      </c>
      <c r="AA37" s="316">
        <f t="shared" si="4"/>
        <v>-6.451612903225811</v>
      </c>
      <c r="AB37" s="107" t="s">
        <v>165</v>
      </c>
      <c r="AC37" s="423" t="s">
        <v>221</v>
      </c>
      <c r="AE37"/>
      <c r="AF37"/>
      <c r="AG37"/>
      <c r="AH37"/>
      <c r="AI37"/>
      <c r="AJ37"/>
      <c r="AK37"/>
      <c r="AL37"/>
      <c r="AM37"/>
      <c r="AN37"/>
      <c r="AO37"/>
      <c r="AP37"/>
      <c r="AQ37"/>
    </row>
    <row r="38" spans="1:43" ht="12.75" customHeight="1">
      <c r="A38" s="120"/>
      <c r="B38" s="156" t="s">
        <v>166</v>
      </c>
      <c r="C38" s="288">
        <v>5.561</v>
      </c>
      <c r="D38" s="288">
        <v>6.011</v>
      </c>
      <c r="E38" s="235">
        <v>6.41</v>
      </c>
      <c r="F38" s="235">
        <v>6.048</v>
      </c>
      <c r="G38" s="235">
        <v>6.259</v>
      </c>
      <c r="H38" s="235">
        <v>7.147</v>
      </c>
      <c r="I38" s="235">
        <v>6.335</v>
      </c>
      <c r="J38" s="235">
        <v>5.797</v>
      </c>
      <c r="K38" s="235">
        <v>5.229</v>
      </c>
      <c r="L38" s="235">
        <v>5.84</v>
      </c>
      <c r="M38" s="235">
        <v>6.16</v>
      </c>
      <c r="N38" s="235">
        <v>6.146</v>
      </c>
      <c r="O38" s="235">
        <v>5.832</v>
      </c>
      <c r="P38" s="235">
        <v>5.568</v>
      </c>
      <c r="Q38" s="235">
        <v>5.204</v>
      </c>
      <c r="R38" s="235">
        <v>5.878</v>
      </c>
      <c r="S38" s="235">
        <v>5.237</v>
      </c>
      <c r="T38" s="235">
        <v>5.036</v>
      </c>
      <c r="U38" s="235">
        <v>5.277</v>
      </c>
      <c r="V38" s="235">
        <v>5.553</v>
      </c>
      <c r="W38" s="235">
        <v>5.097</v>
      </c>
      <c r="X38" s="235">
        <v>5.374</v>
      </c>
      <c r="Y38" s="235">
        <v>5.491</v>
      </c>
      <c r="Z38" s="428">
        <f>5.882</f>
        <v>5.882</v>
      </c>
      <c r="AA38" s="404">
        <f t="shared" si="4"/>
        <v>7.120743034055721</v>
      </c>
      <c r="AB38" s="156" t="s">
        <v>166</v>
      </c>
      <c r="AC38" s="423" t="s">
        <v>221</v>
      </c>
      <c r="AE38"/>
      <c r="AF38"/>
      <c r="AG38"/>
      <c r="AH38"/>
      <c r="AI38"/>
      <c r="AJ38"/>
      <c r="AK38"/>
      <c r="AL38"/>
      <c r="AM38"/>
      <c r="AN38"/>
      <c r="AO38"/>
      <c r="AP38"/>
      <c r="AQ38"/>
    </row>
    <row r="39" spans="1:43" s="214" customFormat="1" ht="12.75" customHeight="1">
      <c r="A39" s="290"/>
      <c r="B39" s="107" t="s">
        <v>167</v>
      </c>
      <c r="C39" s="405" t="s">
        <v>158</v>
      </c>
      <c r="D39" s="405" t="s">
        <v>158</v>
      </c>
      <c r="E39" s="406" t="s">
        <v>158</v>
      </c>
      <c r="F39" s="406" t="s">
        <v>158</v>
      </c>
      <c r="G39" s="406" t="s">
        <v>158</v>
      </c>
      <c r="H39" s="406" t="s">
        <v>158</v>
      </c>
      <c r="I39" s="406" t="s">
        <v>158</v>
      </c>
      <c r="J39" s="406" t="s">
        <v>158</v>
      </c>
      <c r="K39" s="406" t="s">
        <v>158</v>
      </c>
      <c r="L39" s="406" t="s">
        <v>158</v>
      </c>
      <c r="M39" s="406" t="s">
        <v>158</v>
      </c>
      <c r="N39" s="406" t="s">
        <v>158</v>
      </c>
      <c r="O39" s="406" t="s">
        <v>158</v>
      </c>
      <c r="P39" s="406" t="s">
        <v>158</v>
      </c>
      <c r="Q39" s="406" t="s">
        <v>158</v>
      </c>
      <c r="R39" s="406" t="s">
        <v>158</v>
      </c>
      <c r="S39" s="406" t="s">
        <v>158</v>
      </c>
      <c r="T39" s="406" t="s">
        <v>158</v>
      </c>
      <c r="U39" s="406" t="s">
        <v>158</v>
      </c>
      <c r="V39" s="406" t="s">
        <v>158</v>
      </c>
      <c r="W39" s="406" t="s">
        <v>158</v>
      </c>
      <c r="X39" s="406" t="s">
        <v>158</v>
      </c>
      <c r="Y39" s="406" t="s">
        <v>158</v>
      </c>
      <c r="Z39" s="429" t="s">
        <v>158</v>
      </c>
      <c r="AA39" s="407" t="s">
        <v>158</v>
      </c>
      <c r="AB39" s="107" t="s">
        <v>167</v>
      </c>
      <c r="AC39" s="423"/>
      <c r="AE39"/>
      <c r="AF39"/>
      <c r="AG39"/>
      <c r="AH39"/>
      <c r="AI39"/>
      <c r="AJ39"/>
      <c r="AK39"/>
      <c r="AL39"/>
      <c r="AM39"/>
      <c r="AN39"/>
      <c r="AO39"/>
      <c r="AP39"/>
      <c r="AQ39"/>
    </row>
    <row r="40" spans="1:43" ht="12.75" customHeight="1">
      <c r="A40" s="120"/>
      <c r="B40" s="154" t="s">
        <v>168</v>
      </c>
      <c r="C40" s="288">
        <v>1.86</v>
      </c>
      <c r="D40" s="288">
        <v>2.394</v>
      </c>
      <c r="E40" s="235">
        <v>2.104</v>
      </c>
      <c r="F40" s="235">
        <v>2.15</v>
      </c>
      <c r="G40" s="235">
        <v>2.256</v>
      </c>
      <c r="H40" s="235">
        <v>2.316</v>
      </c>
      <c r="I40" s="235">
        <v>2.398</v>
      </c>
      <c r="J40" s="235">
        <v>2.381</v>
      </c>
      <c r="K40" s="235">
        <v>2.449</v>
      </c>
      <c r="L40" s="235">
        <v>2.561</v>
      </c>
      <c r="M40" s="235">
        <v>2.59</v>
      </c>
      <c r="N40" s="235">
        <v>2.674</v>
      </c>
      <c r="O40" s="235">
        <v>2.635</v>
      </c>
      <c r="P40" s="235">
        <v>2.677</v>
      </c>
      <c r="Q40" s="235">
        <v>2.477</v>
      </c>
      <c r="R40" s="235">
        <v>2.381</v>
      </c>
      <c r="S40" s="235">
        <v>2.62</v>
      </c>
      <c r="T40" s="235">
        <v>2.723</v>
      </c>
      <c r="U40" s="235">
        <v>2.833</v>
      </c>
      <c r="V40" s="235">
        <v>2.971</v>
      </c>
      <c r="W40" s="235">
        <f>2.705+0.354</f>
        <v>3.059</v>
      </c>
      <c r="X40" s="235">
        <f>2.669+0.343</f>
        <v>3.012</v>
      </c>
      <c r="Y40" s="235">
        <f>2.666+0.397</f>
        <v>3.0629999999999997</v>
      </c>
      <c r="Z40" s="428">
        <f>2.641+0.371</f>
        <v>3.012</v>
      </c>
      <c r="AA40" s="303">
        <f t="shared" si="4"/>
        <v>-1.6650342801175277</v>
      </c>
      <c r="AB40" s="154" t="s">
        <v>168</v>
      </c>
      <c r="AC40" s="423" t="s">
        <v>229</v>
      </c>
      <c r="AE40"/>
      <c r="AF40"/>
      <c r="AG40"/>
      <c r="AH40"/>
      <c r="AI40"/>
      <c r="AJ40"/>
      <c r="AK40"/>
      <c r="AL40"/>
      <c r="AM40"/>
      <c r="AN40"/>
      <c r="AO40"/>
      <c r="AP40"/>
      <c r="AQ40"/>
    </row>
    <row r="41" spans="1:43" s="214" customFormat="1" ht="12.75" customHeight="1">
      <c r="A41" s="290"/>
      <c r="B41" s="109" t="s">
        <v>169</v>
      </c>
      <c r="C41" s="366">
        <v>9.339</v>
      </c>
      <c r="D41" s="366">
        <v>9.964</v>
      </c>
      <c r="E41" s="367">
        <v>12.68</v>
      </c>
      <c r="F41" s="367">
        <v>13.83</v>
      </c>
      <c r="G41" s="367">
        <v>13.21</v>
      </c>
      <c r="H41" s="367">
        <v>13.38</v>
      </c>
      <c r="I41" s="367">
        <v>13.84</v>
      </c>
      <c r="J41" s="367">
        <v>11.71</v>
      </c>
      <c r="K41" s="367">
        <v>11.89</v>
      </c>
      <c r="L41" s="367">
        <v>12.05</v>
      </c>
      <c r="M41" s="367">
        <v>12.15</v>
      </c>
      <c r="N41" s="367">
        <v>12.5</v>
      </c>
      <c r="O41" s="367">
        <v>12.62</v>
      </c>
      <c r="P41" s="367">
        <v>13.301</v>
      </c>
      <c r="Q41" s="367">
        <v>14.147</v>
      </c>
      <c r="R41" s="367">
        <v>14.509</v>
      </c>
      <c r="S41" s="367">
        <v>14.914</v>
      </c>
      <c r="T41" s="367">
        <v>16.144</v>
      </c>
      <c r="U41" s="367">
        <v>16.578</v>
      </c>
      <c r="V41" s="367">
        <v>17.434</v>
      </c>
      <c r="W41" s="367">
        <v>17.775</v>
      </c>
      <c r="X41" s="367">
        <f>18.571</f>
        <v>18.571</v>
      </c>
      <c r="Y41" s="367">
        <f>19.177</f>
        <v>19.177</v>
      </c>
      <c r="Z41" s="430">
        <v>19.471</v>
      </c>
      <c r="AA41" s="408">
        <f t="shared" si="4"/>
        <v>1.5330865098816426</v>
      </c>
      <c r="AB41" s="109" t="s">
        <v>169</v>
      </c>
      <c r="AC41" s="423" t="s">
        <v>221</v>
      </c>
      <c r="AE41"/>
      <c r="AF41"/>
      <c r="AG41"/>
      <c r="AH41"/>
      <c r="AI41"/>
      <c r="AJ41"/>
      <c r="AK41"/>
      <c r="AL41"/>
      <c r="AM41"/>
      <c r="AN41"/>
      <c r="AO41"/>
      <c r="AP41"/>
      <c r="AQ41"/>
    </row>
    <row r="42" spans="2:28" ht="30" customHeight="1">
      <c r="B42" s="1086" t="s">
        <v>230</v>
      </c>
      <c r="C42" s="1086"/>
      <c r="D42" s="1086"/>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row>
  </sheetData>
  <sheetProtection/>
  <mergeCells count="2">
    <mergeCell ref="B2:AB2"/>
    <mergeCell ref="B42:AB4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00"/>
  </sheetPr>
  <dimension ref="A1:AF37"/>
  <sheetViews>
    <sheetView zoomScalePageLayoutView="0" workbookViewId="0" topLeftCell="O1">
      <selection activeCell="U39" sqref="U39:AB40"/>
    </sheetView>
  </sheetViews>
  <sheetFormatPr defaultColWidth="9.140625" defaultRowHeight="12.75"/>
  <cols>
    <col min="30" max="30" width="14.57421875" style="0" customWidth="1"/>
  </cols>
  <sheetData>
    <row r="1" ht="15.75">
      <c r="AD1" s="102" t="s">
        <v>170</v>
      </c>
    </row>
    <row r="2" spans="2:30" ht="18">
      <c r="B2" s="1055" t="s">
        <v>171</v>
      </c>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row>
    <row r="3" spans="2:30" ht="15.75">
      <c r="B3" s="1056" t="s">
        <v>172</v>
      </c>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row>
    <row r="4" spans="2:30" ht="12.75">
      <c r="B4" s="1057">
        <v>2011</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row>
    <row r="5" spans="3:29" ht="12.75">
      <c r="C5" s="113" t="s">
        <v>173</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5"/>
    </row>
    <row r="6" spans="2:30" ht="22.5">
      <c r="B6" s="116" t="s">
        <v>174</v>
      </c>
      <c r="C6" s="117" t="s">
        <v>1</v>
      </c>
      <c r="D6" s="118" t="s">
        <v>104</v>
      </c>
      <c r="E6" s="118" t="s">
        <v>63</v>
      </c>
      <c r="F6" s="118" t="s">
        <v>2</v>
      </c>
      <c r="G6" s="118" t="s">
        <v>3</v>
      </c>
      <c r="H6" s="118" t="s">
        <v>66</v>
      </c>
      <c r="I6" s="118" t="s">
        <v>6</v>
      </c>
      <c r="J6" s="118" t="s">
        <v>175</v>
      </c>
      <c r="K6" s="118" t="s">
        <v>4</v>
      </c>
      <c r="L6" s="118" t="s">
        <v>5</v>
      </c>
      <c r="M6" s="118" t="s">
        <v>7</v>
      </c>
      <c r="N6" s="118" t="s">
        <v>71</v>
      </c>
      <c r="O6" s="118" t="s">
        <v>75</v>
      </c>
      <c r="P6" s="118" t="s">
        <v>76</v>
      </c>
      <c r="Q6" s="118" t="s">
        <v>176</v>
      </c>
      <c r="R6" s="118" t="s">
        <v>80</v>
      </c>
      <c r="S6" s="118" t="s">
        <v>177</v>
      </c>
      <c r="T6" s="118" t="s">
        <v>178</v>
      </c>
      <c r="U6" s="118" t="s">
        <v>10</v>
      </c>
      <c r="V6" s="118" t="s">
        <v>83</v>
      </c>
      <c r="W6" s="118" t="s">
        <v>11</v>
      </c>
      <c r="X6" s="118" t="s">
        <v>105</v>
      </c>
      <c r="Y6" s="118" t="s">
        <v>85</v>
      </c>
      <c r="Z6" s="118" t="s">
        <v>179</v>
      </c>
      <c r="AA6" s="118" t="s">
        <v>27</v>
      </c>
      <c r="AB6" s="118" t="s">
        <v>12</v>
      </c>
      <c r="AC6" s="119" t="s">
        <v>180</v>
      </c>
      <c r="AD6" s="120"/>
    </row>
    <row r="7" spans="1:31" ht="12.75">
      <c r="A7" s="1012" t="s">
        <v>61</v>
      </c>
      <c r="B7" s="121" t="s">
        <v>1</v>
      </c>
      <c r="C7" s="123">
        <v>47.363</v>
      </c>
      <c r="D7" s="122">
        <v>165.244</v>
      </c>
      <c r="E7" s="122">
        <v>282.621</v>
      </c>
      <c r="F7" s="122">
        <v>459.832</v>
      </c>
      <c r="G7" s="122">
        <v>1510.377</v>
      </c>
      <c r="H7" s="122">
        <v>29.707</v>
      </c>
      <c r="I7" s="122">
        <v>342.992</v>
      </c>
      <c r="J7" s="122">
        <v>844.754</v>
      </c>
      <c r="K7" s="122">
        <v>4221.613</v>
      </c>
      <c r="L7" s="122">
        <v>1543.102</v>
      </c>
      <c r="M7" s="122">
        <v>2904.998</v>
      </c>
      <c r="N7" s="122">
        <v>73.722</v>
      </c>
      <c r="O7" s="122">
        <v>152.666</v>
      </c>
      <c r="P7" s="122">
        <v>82.761</v>
      </c>
      <c r="Q7" s="122">
        <v>0.266</v>
      </c>
      <c r="R7" s="122">
        <v>298.701</v>
      </c>
      <c r="S7" s="122">
        <v>84.462</v>
      </c>
      <c r="T7" s="122">
        <v>191.61</v>
      </c>
      <c r="U7" s="122">
        <v>405.529</v>
      </c>
      <c r="V7" s="122">
        <v>417.312</v>
      </c>
      <c r="W7" s="122">
        <v>745.435</v>
      </c>
      <c r="X7" s="122">
        <v>241.812</v>
      </c>
      <c r="Y7" s="122">
        <v>57.09</v>
      </c>
      <c r="Z7" s="122">
        <v>71.168</v>
      </c>
      <c r="AA7" s="122">
        <v>259.426</v>
      </c>
      <c r="AB7" s="122">
        <v>457.551</v>
      </c>
      <c r="AC7" s="122">
        <v>1221.173</v>
      </c>
      <c r="AD7" s="1000" t="s">
        <v>1</v>
      </c>
      <c r="AE7" s="1011">
        <f>SUM(C7:AC7)</f>
        <v>17113.287</v>
      </c>
    </row>
    <row r="8" spans="1:31" ht="12.75">
      <c r="A8" s="1012" t="s">
        <v>102</v>
      </c>
      <c r="B8" s="121" t="s">
        <v>104</v>
      </c>
      <c r="C8" s="125">
        <v>156.743</v>
      </c>
      <c r="D8" s="123">
        <v>204.925</v>
      </c>
      <c r="E8" s="125">
        <v>256.667</v>
      </c>
      <c r="F8" s="125">
        <v>102.721</v>
      </c>
      <c r="G8" s="125">
        <v>1223.513</v>
      </c>
      <c r="H8" s="125">
        <v>9.492</v>
      </c>
      <c r="I8" s="125">
        <v>40.803</v>
      </c>
      <c r="J8" s="125">
        <v>98.642</v>
      </c>
      <c r="K8" s="125">
        <v>276.113</v>
      </c>
      <c r="L8" s="125">
        <v>228.917</v>
      </c>
      <c r="M8" s="125">
        <v>346.058</v>
      </c>
      <c r="N8" s="125">
        <v>73.863</v>
      </c>
      <c r="O8" s="125">
        <v>9.08</v>
      </c>
      <c r="P8" s="125">
        <v>12.454</v>
      </c>
      <c r="Q8" s="125">
        <v>18.805</v>
      </c>
      <c r="R8" s="125">
        <v>136.277</v>
      </c>
      <c r="S8" s="125">
        <v>13.829</v>
      </c>
      <c r="T8" s="125">
        <v>185.292</v>
      </c>
      <c r="U8" s="125">
        <v>401.254</v>
      </c>
      <c r="V8" s="125">
        <v>224.172</v>
      </c>
      <c r="W8" s="125">
        <v>2.945</v>
      </c>
      <c r="X8" s="125">
        <v>32.19</v>
      </c>
      <c r="Y8" s="125">
        <v>7.644</v>
      </c>
      <c r="Z8" s="125">
        <v>83.624</v>
      </c>
      <c r="AA8" s="125">
        <v>60.061</v>
      </c>
      <c r="AB8" s="125">
        <v>47.04</v>
      </c>
      <c r="AC8" s="125">
        <v>831.793</v>
      </c>
      <c r="AD8" s="124" t="s">
        <v>104</v>
      </c>
      <c r="AE8" s="1011">
        <f aca="true" t="shared" si="0" ref="AE8:AE34">SUM(C8:AC8)</f>
        <v>5084.916999999999</v>
      </c>
    </row>
    <row r="9" spans="1:31" ht="12.75">
      <c r="A9" s="1012" t="s">
        <v>62</v>
      </c>
      <c r="B9" s="121" t="s">
        <v>63</v>
      </c>
      <c r="C9" s="122">
        <v>283.315</v>
      </c>
      <c r="D9" s="122">
        <v>257.078</v>
      </c>
      <c r="E9" s="123">
        <v>121.981</v>
      </c>
      <c r="F9" s="122">
        <v>236.724</v>
      </c>
      <c r="G9" s="122">
        <v>1161.344</v>
      </c>
      <c r="H9" s="122">
        <v>59.299</v>
      </c>
      <c r="I9" s="122">
        <v>86.479</v>
      </c>
      <c r="J9" s="122">
        <v>600.27</v>
      </c>
      <c r="K9" s="122">
        <v>826.522</v>
      </c>
      <c r="L9" s="122">
        <v>1016.792</v>
      </c>
      <c r="M9" s="122">
        <v>927.038</v>
      </c>
      <c r="N9" s="122">
        <v>133.438</v>
      </c>
      <c r="O9" s="122">
        <v>56.104</v>
      </c>
      <c r="P9" s="122">
        <v>66.94</v>
      </c>
      <c r="Q9" s="122">
        <v>12.091</v>
      </c>
      <c r="R9" s="122">
        <v>151.53</v>
      </c>
      <c r="S9" s="122">
        <v>8.212</v>
      </c>
      <c r="T9" s="122">
        <v>541.93</v>
      </c>
      <c r="U9" s="122">
        <v>153.82</v>
      </c>
      <c r="V9" s="122">
        <v>219.772</v>
      </c>
      <c r="W9" s="122">
        <v>62.053</v>
      </c>
      <c r="X9" s="122">
        <v>112.477</v>
      </c>
      <c r="Y9" s="122">
        <v>37.542</v>
      </c>
      <c r="Z9" s="122">
        <v>116.977</v>
      </c>
      <c r="AA9" s="122">
        <v>139.815</v>
      </c>
      <c r="AB9" s="122">
        <v>175.425</v>
      </c>
      <c r="AC9" s="122">
        <v>1298.563</v>
      </c>
      <c r="AD9" s="124" t="s">
        <v>63</v>
      </c>
      <c r="AE9" s="1011">
        <f t="shared" si="0"/>
        <v>8863.531</v>
      </c>
    </row>
    <row r="10" spans="1:31" ht="12.75">
      <c r="A10" s="1012" t="s">
        <v>14</v>
      </c>
      <c r="B10" s="121" t="s">
        <v>2</v>
      </c>
      <c r="C10" s="125">
        <v>460.074</v>
      </c>
      <c r="D10" s="125">
        <v>98.571</v>
      </c>
      <c r="E10" s="125">
        <v>237.282</v>
      </c>
      <c r="F10" s="123">
        <v>2365.947</v>
      </c>
      <c r="G10" s="125">
        <v>2344.406</v>
      </c>
      <c r="H10" s="125">
        <v>133.195</v>
      </c>
      <c r="I10" s="125">
        <v>199.52</v>
      </c>
      <c r="J10" s="125">
        <v>666.018</v>
      </c>
      <c r="K10" s="125">
        <v>2195.59</v>
      </c>
      <c r="L10" s="125">
        <v>1311.138</v>
      </c>
      <c r="M10" s="125">
        <v>947.486</v>
      </c>
      <c r="N10" s="125">
        <v>72.754</v>
      </c>
      <c r="O10" s="125">
        <v>159.342</v>
      </c>
      <c r="P10" s="125">
        <v>177.937</v>
      </c>
      <c r="Q10" s="125">
        <v>56.933</v>
      </c>
      <c r="R10" s="125">
        <v>176.1</v>
      </c>
      <c r="S10" s="125">
        <v>58.725</v>
      </c>
      <c r="T10" s="125">
        <v>1158.133</v>
      </c>
      <c r="U10" s="125">
        <v>420.838</v>
      </c>
      <c r="V10" s="125">
        <v>362.447</v>
      </c>
      <c r="W10" s="125">
        <v>223.429</v>
      </c>
      <c r="X10" s="125">
        <v>21.329</v>
      </c>
      <c r="Y10" s="125">
        <v>17.711</v>
      </c>
      <c r="Z10" s="125">
        <v>0.205</v>
      </c>
      <c r="AA10" s="125">
        <v>774.83</v>
      </c>
      <c r="AB10" s="125">
        <v>1638.45</v>
      </c>
      <c r="AC10" s="125">
        <v>2562.709</v>
      </c>
      <c r="AD10" s="124" t="s">
        <v>2</v>
      </c>
      <c r="AE10" s="1011">
        <f t="shared" si="0"/>
        <v>18841.099000000006</v>
      </c>
    </row>
    <row r="11" spans="1:31" ht="12.75">
      <c r="A11" s="1012" t="s">
        <v>64</v>
      </c>
      <c r="B11" s="121" t="s">
        <v>3</v>
      </c>
      <c r="C11" s="122">
        <v>1502.156</v>
      </c>
      <c r="D11" s="122">
        <v>1222.26</v>
      </c>
      <c r="E11" s="122">
        <v>1135.194</v>
      </c>
      <c r="F11" s="122">
        <v>2331.836</v>
      </c>
      <c r="G11" s="123">
        <v>24418.383</v>
      </c>
      <c r="H11" s="122">
        <v>238.642</v>
      </c>
      <c r="I11" s="122">
        <v>1361.464</v>
      </c>
      <c r="J11" s="122">
        <v>4543.199</v>
      </c>
      <c r="K11" s="122">
        <v>21975.101</v>
      </c>
      <c r="L11" s="122">
        <v>7110.058</v>
      </c>
      <c r="M11" s="122">
        <v>11170.182</v>
      </c>
      <c r="N11" s="122">
        <v>383.956</v>
      </c>
      <c r="O11" s="122">
        <v>585.968</v>
      </c>
      <c r="P11" s="122">
        <v>285.459</v>
      </c>
      <c r="Q11" s="122">
        <v>286.419</v>
      </c>
      <c r="R11" s="122">
        <v>1495.79</v>
      </c>
      <c r="S11" s="122">
        <v>520.577</v>
      </c>
      <c r="T11" s="122">
        <v>3301.492</v>
      </c>
      <c r="U11" s="122">
        <v>6418.559</v>
      </c>
      <c r="V11" s="122">
        <v>2843.569</v>
      </c>
      <c r="W11" s="122">
        <v>2641.528</v>
      </c>
      <c r="X11" s="122">
        <v>1292.186</v>
      </c>
      <c r="Y11" s="122">
        <v>198.262</v>
      </c>
      <c r="Z11" s="122">
        <v>1.379</v>
      </c>
      <c r="AA11" s="122">
        <v>1680.236</v>
      </c>
      <c r="AB11" s="122">
        <v>2719.96</v>
      </c>
      <c r="AC11" s="122">
        <v>11588.913</v>
      </c>
      <c r="AD11" s="124" t="s">
        <v>3</v>
      </c>
      <c r="AE11" s="1011">
        <f t="shared" si="0"/>
        <v>113252.72800000002</v>
      </c>
    </row>
    <row r="12" spans="1:31" ht="12.75">
      <c r="A12" s="1012" t="s">
        <v>65</v>
      </c>
      <c r="B12" s="121" t="s">
        <v>66</v>
      </c>
      <c r="C12" s="125">
        <v>29.713</v>
      </c>
      <c r="D12" s="125">
        <v>9.691</v>
      </c>
      <c r="E12" s="125">
        <v>59.243</v>
      </c>
      <c r="F12" s="125">
        <v>133.24</v>
      </c>
      <c r="G12" s="125">
        <v>240.955</v>
      </c>
      <c r="H12" s="123">
        <v>28.966</v>
      </c>
      <c r="I12" s="125">
        <v>47.891</v>
      </c>
      <c r="J12" s="125">
        <v>18.362</v>
      </c>
      <c r="K12" s="125">
        <v>60.622</v>
      </c>
      <c r="L12" s="125">
        <v>15.494</v>
      </c>
      <c r="M12" s="125">
        <v>51.252</v>
      </c>
      <c r="N12" s="125">
        <v>2.089</v>
      </c>
      <c r="O12" s="125">
        <v>173.404</v>
      </c>
      <c r="P12" s="125">
        <v>34.805</v>
      </c>
      <c r="Q12" s="125">
        <v>0.106</v>
      </c>
      <c r="R12" s="125">
        <v>0.078</v>
      </c>
      <c r="S12" s="125">
        <v>0.566</v>
      </c>
      <c r="T12" s="125">
        <v>56.13</v>
      </c>
      <c r="U12" s="125">
        <v>2.857</v>
      </c>
      <c r="V12" s="125">
        <v>21.657</v>
      </c>
      <c r="W12" s="125">
        <v>4.635</v>
      </c>
      <c r="X12" s="125">
        <v>0.084</v>
      </c>
      <c r="Y12" s="125">
        <v>0.439</v>
      </c>
      <c r="Z12" s="125">
        <v>0.075</v>
      </c>
      <c r="AA12" s="125">
        <v>191.926</v>
      </c>
      <c r="AB12" s="125">
        <v>159.372</v>
      </c>
      <c r="AC12" s="125">
        <v>245.144</v>
      </c>
      <c r="AD12" s="124" t="s">
        <v>66</v>
      </c>
      <c r="AE12" s="1011">
        <f t="shared" si="0"/>
        <v>1588.7959999999998</v>
      </c>
    </row>
    <row r="13" spans="1:31" ht="12.75">
      <c r="A13" s="1012" t="s">
        <v>69</v>
      </c>
      <c r="B13" s="121" t="s">
        <v>6</v>
      </c>
      <c r="C13" s="122">
        <v>342.287</v>
      </c>
      <c r="D13" s="122">
        <v>44.325</v>
      </c>
      <c r="E13" s="122">
        <v>86.319</v>
      </c>
      <c r="F13" s="122">
        <v>200.388</v>
      </c>
      <c r="G13" s="122">
        <v>1371.415</v>
      </c>
      <c r="H13" s="122">
        <v>48.101</v>
      </c>
      <c r="I13" s="123">
        <v>113.912</v>
      </c>
      <c r="J13" s="122">
        <v>56.585</v>
      </c>
      <c r="K13" s="122">
        <v>2863.222</v>
      </c>
      <c r="L13" s="122">
        <v>1513.82</v>
      </c>
      <c r="M13" s="122">
        <v>903.404</v>
      </c>
      <c r="N13" s="122">
        <v>12.85</v>
      </c>
      <c r="O13" s="122">
        <v>122.5</v>
      </c>
      <c r="P13" s="122">
        <v>183.513</v>
      </c>
      <c r="Q13" s="122">
        <v>11.868</v>
      </c>
      <c r="R13" s="122">
        <v>172.959</v>
      </c>
      <c r="S13" s="122">
        <v>55.14</v>
      </c>
      <c r="T13" s="122">
        <v>746.536</v>
      </c>
      <c r="U13" s="122">
        <v>124.032</v>
      </c>
      <c r="V13" s="122">
        <v>949.103</v>
      </c>
      <c r="W13" s="122">
        <v>598.194</v>
      </c>
      <c r="X13" s="122">
        <v>74.927</v>
      </c>
      <c r="Y13" s="122">
        <v>1.945</v>
      </c>
      <c r="Z13" s="122">
        <v>89.089</v>
      </c>
      <c r="AA13" s="122">
        <v>20.26</v>
      </c>
      <c r="AB13" s="122">
        <v>123.755</v>
      </c>
      <c r="AC13" s="122">
        <v>9653.799</v>
      </c>
      <c r="AD13" s="124" t="s">
        <v>6</v>
      </c>
      <c r="AE13" s="1011">
        <f t="shared" si="0"/>
        <v>20484.248</v>
      </c>
    </row>
    <row r="14" spans="1:32" ht="12.75">
      <c r="A14" s="1014" t="s">
        <v>15</v>
      </c>
      <c r="B14" s="121" t="s">
        <v>175</v>
      </c>
      <c r="C14" s="125">
        <v>839.432</v>
      </c>
      <c r="D14" s="125">
        <v>97.814</v>
      </c>
      <c r="E14" s="125">
        <v>594.822</v>
      </c>
      <c r="F14" s="125">
        <v>667.961</v>
      </c>
      <c r="G14" s="125">
        <v>4505.307</v>
      </c>
      <c r="H14" s="125">
        <v>17.909</v>
      </c>
      <c r="I14" s="125">
        <v>56.228</v>
      </c>
      <c r="J14" s="123">
        <v>5658.084</v>
      </c>
      <c r="K14" s="125">
        <v>623.201</v>
      </c>
      <c r="L14" s="125">
        <v>1801.348</v>
      </c>
      <c r="M14" s="125">
        <v>2307.632</v>
      </c>
      <c r="N14" s="125">
        <v>1129.875</v>
      </c>
      <c r="O14" s="125">
        <v>46.864</v>
      </c>
      <c r="P14" s="125">
        <v>64.23</v>
      </c>
      <c r="Q14" s="125">
        <v>50.407</v>
      </c>
      <c r="R14" s="125">
        <v>269.943</v>
      </c>
      <c r="S14" s="125">
        <v>13.334</v>
      </c>
      <c r="T14" s="125">
        <v>1257.386</v>
      </c>
      <c r="U14" s="125">
        <v>656.166</v>
      </c>
      <c r="V14" s="125">
        <v>699.986</v>
      </c>
      <c r="W14" s="125">
        <v>30.681</v>
      </c>
      <c r="X14" s="125">
        <v>235.037</v>
      </c>
      <c r="Y14" s="125">
        <v>66.162</v>
      </c>
      <c r="Z14" s="125">
        <v>101.777</v>
      </c>
      <c r="AA14" s="125">
        <v>422.807</v>
      </c>
      <c r="AB14" s="125">
        <v>776.194</v>
      </c>
      <c r="AC14" s="125">
        <v>4749.695</v>
      </c>
      <c r="AD14" s="124" t="s">
        <v>175</v>
      </c>
      <c r="AE14" s="1011">
        <f t="shared" si="0"/>
        <v>27740.281999999996</v>
      </c>
      <c r="AF14" s="112"/>
    </row>
    <row r="15" spans="1:31" ht="12.75">
      <c r="A15" s="1012" t="s">
        <v>67</v>
      </c>
      <c r="B15" s="121" t="s">
        <v>4</v>
      </c>
      <c r="C15" s="122">
        <v>4249.507</v>
      </c>
      <c r="D15" s="122">
        <v>276.269</v>
      </c>
      <c r="E15" s="122">
        <v>832.116</v>
      </c>
      <c r="F15" s="122">
        <v>2198.324</v>
      </c>
      <c r="G15" s="122">
        <v>22292.396</v>
      </c>
      <c r="H15" s="122">
        <v>60.892</v>
      </c>
      <c r="I15" s="122">
        <v>2867.594</v>
      </c>
      <c r="J15" s="122">
        <v>625.403</v>
      </c>
      <c r="K15" s="123">
        <v>37966.524</v>
      </c>
      <c r="L15" s="122">
        <v>9166.301</v>
      </c>
      <c r="M15" s="122">
        <v>11783.463</v>
      </c>
      <c r="N15" s="122">
        <v>41.137</v>
      </c>
      <c r="O15" s="122">
        <v>134.734</v>
      </c>
      <c r="P15" s="122">
        <v>89.327</v>
      </c>
      <c r="Q15" s="122">
        <v>246.95</v>
      </c>
      <c r="R15" s="122">
        <v>299.362</v>
      </c>
      <c r="S15" s="122">
        <v>175.6</v>
      </c>
      <c r="T15" s="122">
        <v>5617.176</v>
      </c>
      <c r="U15" s="122">
        <v>1415.165</v>
      </c>
      <c r="V15" s="122">
        <v>1147.469</v>
      </c>
      <c r="W15" s="122">
        <v>3228.071</v>
      </c>
      <c r="X15" s="122">
        <v>1218.602</v>
      </c>
      <c r="Y15" s="122">
        <v>15.02</v>
      </c>
      <c r="Z15" s="122">
        <v>198.861</v>
      </c>
      <c r="AA15" s="122">
        <v>1140.242</v>
      </c>
      <c r="AB15" s="122">
        <v>2442.674</v>
      </c>
      <c r="AC15" s="122">
        <v>31636.836</v>
      </c>
      <c r="AD15" s="124" t="s">
        <v>4</v>
      </c>
      <c r="AE15" s="1011">
        <f t="shared" si="0"/>
        <v>141366.015</v>
      </c>
    </row>
    <row r="16" spans="1:31" ht="12.75">
      <c r="A16" s="1012" t="s">
        <v>68</v>
      </c>
      <c r="B16" s="121" t="s">
        <v>5</v>
      </c>
      <c r="C16" s="125">
        <v>1514.492</v>
      </c>
      <c r="D16" s="125">
        <v>227.047</v>
      </c>
      <c r="E16" s="125">
        <v>1040.75</v>
      </c>
      <c r="F16" s="125">
        <v>1301.936</v>
      </c>
      <c r="G16" s="125">
        <v>8210.297</v>
      </c>
      <c r="H16" s="125">
        <v>15.451</v>
      </c>
      <c r="I16" s="125">
        <v>1505.078</v>
      </c>
      <c r="J16" s="125">
        <v>1826.281</v>
      </c>
      <c r="K16" s="125">
        <v>9963.681</v>
      </c>
      <c r="L16" s="123">
        <v>27718.735</v>
      </c>
      <c r="M16" s="125">
        <v>9240.968</v>
      </c>
      <c r="N16" s="125">
        <v>92.873</v>
      </c>
      <c r="O16" s="125">
        <v>122.286</v>
      </c>
      <c r="P16" s="125">
        <v>51.831</v>
      </c>
      <c r="Q16" s="125">
        <v>100.655</v>
      </c>
      <c r="R16" s="125">
        <v>527.522</v>
      </c>
      <c r="S16" s="125">
        <v>205.899</v>
      </c>
      <c r="T16" s="125">
        <v>2596.166</v>
      </c>
      <c r="U16" s="125">
        <v>1098.909</v>
      </c>
      <c r="V16" s="125">
        <v>855.189</v>
      </c>
      <c r="W16" s="125">
        <v>3320.047</v>
      </c>
      <c r="X16" s="125">
        <v>690.021</v>
      </c>
      <c r="Y16" s="125">
        <v>142.562</v>
      </c>
      <c r="Z16" s="125">
        <v>72.247</v>
      </c>
      <c r="AA16" s="125">
        <v>562.309</v>
      </c>
      <c r="AB16" s="125">
        <v>1067.892</v>
      </c>
      <c r="AC16" s="125">
        <v>10793.482</v>
      </c>
      <c r="AD16" s="124" t="s">
        <v>5</v>
      </c>
      <c r="AE16" s="1011">
        <f t="shared" si="0"/>
        <v>84864.606</v>
      </c>
    </row>
    <row r="17" spans="1:31" ht="12.75">
      <c r="A17" s="1012" t="s">
        <v>70</v>
      </c>
      <c r="B17" s="121" t="s">
        <v>7</v>
      </c>
      <c r="C17" s="122">
        <v>2891.332</v>
      </c>
      <c r="D17" s="122">
        <v>359.932</v>
      </c>
      <c r="E17" s="122">
        <v>923.704</v>
      </c>
      <c r="F17" s="122">
        <v>947.393</v>
      </c>
      <c r="G17" s="122">
        <v>11069.331</v>
      </c>
      <c r="H17" s="122">
        <v>50.862</v>
      </c>
      <c r="I17" s="122">
        <v>900.643</v>
      </c>
      <c r="J17" s="122">
        <v>2334.185</v>
      </c>
      <c r="K17" s="122">
        <v>11772.99</v>
      </c>
      <c r="L17" s="122">
        <v>9218.189</v>
      </c>
      <c r="M17" s="123">
        <v>32009.58</v>
      </c>
      <c r="N17" s="122">
        <v>82.527</v>
      </c>
      <c r="O17" s="122">
        <v>316.736</v>
      </c>
      <c r="P17" s="122">
        <v>130.186</v>
      </c>
      <c r="Q17" s="122">
        <v>107.321</v>
      </c>
      <c r="R17" s="122">
        <v>602.746</v>
      </c>
      <c r="S17" s="122">
        <v>629.458</v>
      </c>
      <c r="T17" s="122">
        <v>3245.034</v>
      </c>
      <c r="U17" s="122">
        <v>1209.311</v>
      </c>
      <c r="V17" s="122">
        <v>1112.638</v>
      </c>
      <c r="W17" s="122">
        <v>1285.366</v>
      </c>
      <c r="X17" s="122">
        <v>2309.516</v>
      </c>
      <c r="Y17" s="122">
        <v>2.551</v>
      </c>
      <c r="Z17" s="122">
        <v>184.507</v>
      </c>
      <c r="AA17" s="122">
        <v>516.015</v>
      </c>
      <c r="AB17" s="122">
        <v>871.407</v>
      </c>
      <c r="AC17" s="122">
        <v>10251.751</v>
      </c>
      <c r="AD17" s="124" t="s">
        <v>7</v>
      </c>
      <c r="AE17" s="1011">
        <f t="shared" si="0"/>
        <v>95335.21100000002</v>
      </c>
    </row>
    <row r="18" spans="1:31" ht="12.75">
      <c r="A18" s="1012" t="s">
        <v>72</v>
      </c>
      <c r="B18" s="121" t="s">
        <v>71</v>
      </c>
      <c r="C18" s="125">
        <v>74.263</v>
      </c>
      <c r="D18" s="125">
        <v>74.075</v>
      </c>
      <c r="E18" s="125">
        <v>129.985</v>
      </c>
      <c r="F18" s="125">
        <v>72.708</v>
      </c>
      <c r="G18" s="125">
        <v>376.811</v>
      </c>
      <c r="H18" s="125">
        <v>2.086</v>
      </c>
      <c r="I18" s="125">
        <v>12.877</v>
      </c>
      <c r="J18" s="125">
        <v>1112.765</v>
      </c>
      <c r="K18" s="125">
        <v>39.853</v>
      </c>
      <c r="L18" s="125">
        <v>90.03</v>
      </c>
      <c r="M18" s="125">
        <v>65.889</v>
      </c>
      <c r="N18" s="123">
        <v>0.107</v>
      </c>
      <c r="O18" s="125">
        <v>0.009</v>
      </c>
      <c r="P18" s="125">
        <v>0</v>
      </c>
      <c r="Q18" s="125">
        <v>6.115</v>
      </c>
      <c r="R18" s="125">
        <v>78.587</v>
      </c>
      <c r="S18" s="125">
        <v>32.419</v>
      </c>
      <c r="T18" s="125">
        <v>94.843</v>
      </c>
      <c r="U18" s="125">
        <v>146.706</v>
      </c>
      <c r="V18" s="125">
        <v>66.623</v>
      </c>
      <c r="W18" s="125">
        <v>1.747</v>
      </c>
      <c r="X18" s="125">
        <v>165.335</v>
      </c>
      <c r="Y18" s="125">
        <v>2.679</v>
      </c>
      <c r="Z18" s="125">
        <v>9.776</v>
      </c>
      <c r="AA18" s="125">
        <v>69.48</v>
      </c>
      <c r="AB18" s="125">
        <v>212.505</v>
      </c>
      <c r="AC18" s="125">
        <v>2667.456</v>
      </c>
      <c r="AD18" s="124" t="s">
        <v>71</v>
      </c>
      <c r="AE18" s="1011">
        <f t="shared" si="0"/>
        <v>5605.728999999999</v>
      </c>
    </row>
    <row r="19" spans="1:31" ht="12.75">
      <c r="A19" s="1012" t="s">
        <v>73</v>
      </c>
      <c r="B19" s="121" t="s">
        <v>75</v>
      </c>
      <c r="C19" s="122">
        <v>152.362</v>
      </c>
      <c r="D19" s="122">
        <v>9.099</v>
      </c>
      <c r="E19" s="122">
        <v>56.016</v>
      </c>
      <c r="F19" s="122">
        <v>160.031</v>
      </c>
      <c r="G19" s="122">
        <v>588.924</v>
      </c>
      <c r="H19" s="122">
        <v>184.284</v>
      </c>
      <c r="I19" s="122">
        <v>122.508</v>
      </c>
      <c r="J19" s="122">
        <v>47.221</v>
      </c>
      <c r="K19" s="122">
        <v>134.774</v>
      </c>
      <c r="L19" s="122">
        <v>123.36</v>
      </c>
      <c r="M19" s="122">
        <v>316.908</v>
      </c>
      <c r="N19" s="128">
        <v>0.001</v>
      </c>
      <c r="O19" s="123">
        <v>0.418</v>
      </c>
      <c r="P19" s="122">
        <v>236.894</v>
      </c>
      <c r="Q19" s="122">
        <v>0.005</v>
      </c>
      <c r="R19" s="122">
        <v>11.678</v>
      </c>
      <c r="S19" s="128">
        <v>0</v>
      </c>
      <c r="T19" s="122">
        <v>94.392</v>
      </c>
      <c r="U19" s="122">
        <v>60.111</v>
      </c>
      <c r="V19" s="122">
        <v>83.47</v>
      </c>
      <c r="W19" s="122">
        <v>0.809</v>
      </c>
      <c r="X19" s="122">
        <v>1.645</v>
      </c>
      <c r="Y19" s="128">
        <v>0.35</v>
      </c>
      <c r="Z19" s="122">
        <v>0.245</v>
      </c>
      <c r="AA19" s="122">
        <v>467.264</v>
      </c>
      <c r="AB19" s="122">
        <v>226.544</v>
      </c>
      <c r="AC19" s="122">
        <v>585.079</v>
      </c>
      <c r="AD19" s="124" t="s">
        <v>75</v>
      </c>
      <c r="AE19" s="1011">
        <f t="shared" si="0"/>
        <v>3664.392</v>
      </c>
    </row>
    <row r="20" spans="1:31" ht="12.75">
      <c r="A20" s="1012" t="s">
        <v>74</v>
      </c>
      <c r="B20" s="121" t="s">
        <v>76</v>
      </c>
      <c r="C20" s="125">
        <v>81.285</v>
      </c>
      <c r="D20" s="125">
        <v>12.459</v>
      </c>
      <c r="E20" s="125">
        <v>66.524</v>
      </c>
      <c r="F20" s="125">
        <v>177.727</v>
      </c>
      <c r="G20" s="125">
        <v>285.456</v>
      </c>
      <c r="H20" s="125">
        <v>34.426</v>
      </c>
      <c r="I20" s="125">
        <v>177.322</v>
      </c>
      <c r="J20" s="125">
        <v>64.336</v>
      </c>
      <c r="K20" s="125">
        <v>88.038</v>
      </c>
      <c r="L20" s="125">
        <v>51.877</v>
      </c>
      <c r="M20" s="125">
        <v>129.67</v>
      </c>
      <c r="N20" s="129">
        <v>1.699</v>
      </c>
      <c r="O20" s="125">
        <v>235.709</v>
      </c>
      <c r="P20" s="123">
        <v>0.026</v>
      </c>
      <c r="Q20" s="125">
        <v>0.007</v>
      </c>
      <c r="R20" s="125">
        <v>0.007</v>
      </c>
      <c r="S20" s="125">
        <v>1.177</v>
      </c>
      <c r="T20" s="125">
        <v>54.036</v>
      </c>
      <c r="U20" s="125">
        <v>43.814</v>
      </c>
      <c r="V20" s="125">
        <v>60.82</v>
      </c>
      <c r="W20" s="125">
        <v>0.86</v>
      </c>
      <c r="X20" s="125">
        <v>0.009</v>
      </c>
      <c r="Y20" s="125">
        <v>1.181</v>
      </c>
      <c r="Z20" s="125">
        <v>0.009</v>
      </c>
      <c r="AA20" s="125">
        <v>112.024</v>
      </c>
      <c r="AB20" s="125">
        <v>75.326</v>
      </c>
      <c r="AC20" s="125">
        <v>557.282</v>
      </c>
      <c r="AD20" s="124" t="s">
        <v>76</v>
      </c>
      <c r="AE20" s="1011">
        <f t="shared" si="0"/>
        <v>2313.1060000000007</v>
      </c>
    </row>
    <row r="21" spans="1:31" ht="12.75">
      <c r="A21" s="1012" t="s">
        <v>77</v>
      </c>
      <c r="B21" s="121" t="s">
        <v>8</v>
      </c>
      <c r="C21" s="122">
        <v>0.384</v>
      </c>
      <c r="D21" s="122">
        <v>22.194</v>
      </c>
      <c r="E21" s="122">
        <v>12.667</v>
      </c>
      <c r="F21" s="122">
        <v>57.911</v>
      </c>
      <c r="G21" s="122">
        <v>288.272</v>
      </c>
      <c r="H21" s="122">
        <v>0</v>
      </c>
      <c r="I21" s="122">
        <v>11.847</v>
      </c>
      <c r="J21" s="122">
        <v>56.892</v>
      </c>
      <c r="K21" s="122">
        <v>251.775</v>
      </c>
      <c r="L21" s="122">
        <v>103.505</v>
      </c>
      <c r="M21" s="122">
        <v>111.775</v>
      </c>
      <c r="N21" s="122">
        <v>8.038</v>
      </c>
      <c r="O21" s="128">
        <v>0.148</v>
      </c>
      <c r="P21" s="122">
        <v>0</v>
      </c>
      <c r="Q21" s="123">
        <v>0.547</v>
      </c>
      <c r="R21" s="122">
        <v>0.002</v>
      </c>
      <c r="S21" s="122">
        <v>3.195</v>
      </c>
      <c r="T21" s="122">
        <v>107.607</v>
      </c>
      <c r="U21" s="122">
        <v>57.681</v>
      </c>
      <c r="V21" s="122">
        <v>0.285</v>
      </c>
      <c r="W21" s="122">
        <v>159.293</v>
      </c>
      <c r="X21" s="122">
        <v>0.313</v>
      </c>
      <c r="Y21" s="122">
        <v>0</v>
      </c>
      <c r="Z21" s="122">
        <v>0.001</v>
      </c>
      <c r="AA21" s="122">
        <v>0</v>
      </c>
      <c r="AB21" s="122">
        <v>0.386</v>
      </c>
      <c r="AC21" s="122">
        <v>253.929</v>
      </c>
      <c r="AD21" s="124" t="s">
        <v>8</v>
      </c>
      <c r="AE21" s="1011">
        <f t="shared" si="0"/>
        <v>1508.6470000000002</v>
      </c>
    </row>
    <row r="22" spans="1:31" ht="12.75">
      <c r="A22" s="1012" t="s">
        <v>78</v>
      </c>
      <c r="B22" s="121" t="s">
        <v>80</v>
      </c>
      <c r="C22" s="125">
        <v>298.217</v>
      </c>
      <c r="D22" s="125">
        <v>132.948</v>
      </c>
      <c r="E22" s="125">
        <v>147.331</v>
      </c>
      <c r="F22" s="125">
        <v>175.219</v>
      </c>
      <c r="G22" s="125">
        <v>1493.219</v>
      </c>
      <c r="H22" s="125">
        <v>0.078</v>
      </c>
      <c r="I22" s="125">
        <v>173.436</v>
      </c>
      <c r="J22" s="125">
        <v>273.455</v>
      </c>
      <c r="K22" s="125">
        <v>294.912</v>
      </c>
      <c r="L22" s="125">
        <v>505.5</v>
      </c>
      <c r="M22" s="125">
        <v>604.874</v>
      </c>
      <c r="N22" s="125">
        <v>79.223</v>
      </c>
      <c r="O22" s="125">
        <v>11.705</v>
      </c>
      <c r="P22" s="125">
        <v>0</v>
      </c>
      <c r="Q22" s="125">
        <v>0.1</v>
      </c>
      <c r="R22" s="123">
        <v>0.315</v>
      </c>
      <c r="S22" s="125">
        <v>16.438</v>
      </c>
      <c r="T22" s="125">
        <v>546.922</v>
      </c>
      <c r="U22" s="125">
        <v>78.491</v>
      </c>
      <c r="V22" s="125">
        <v>135.41</v>
      </c>
      <c r="W22" s="125">
        <v>70.197</v>
      </c>
      <c r="X22" s="125">
        <v>224.868</v>
      </c>
      <c r="Y22" s="125">
        <v>0.163</v>
      </c>
      <c r="Z22" s="125">
        <v>1.113</v>
      </c>
      <c r="AA22" s="125">
        <v>203.763</v>
      </c>
      <c r="AB22" s="125">
        <v>356.799</v>
      </c>
      <c r="AC22" s="125">
        <v>1043.424</v>
      </c>
      <c r="AD22" s="124" t="s">
        <v>80</v>
      </c>
      <c r="AE22" s="1011">
        <f t="shared" si="0"/>
        <v>6868.12</v>
      </c>
    </row>
    <row r="23" spans="1:32" ht="12.75">
      <c r="A23" s="1014" t="s">
        <v>79</v>
      </c>
      <c r="B23" s="121" t="s">
        <v>177</v>
      </c>
      <c r="C23" s="122">
        <v>84.371</v>
      </c>
      <c r="D23" s="122">
        <v>12.363</v>
      </c>
      <c r="E23" s="122">
        <v>8.088</v>
      </c>
      <c r="F23" s="122">
        <v>60.828</v>
      </c>
      <c r="G23" s="122">
        <v>520.888</v>
      </c>
      <c r="H23" s="122">
        <v>0.554</v>
      </c>
      <c r="I23" s="122">
        <v>54.547</v>
      </c>
      <c r="J23" s="122">
        <v>16.491</v>
      </c>
      <c r="K23" s="122">
        <v>174.917</v>
      </c>
      <c r="L23" s="122">
        <v>198.512</v>
      </c>
      <c r="M23" s="122">
        <v>616.662</v>
      </c>
      <c r="N23" s="122">
        <v>32.1</v>
      </c>
      <c r="O23" s="128">
        <v>0</v>
      </c>
      <c r="P23" s="122">
        <v>1.173</v>
      </c>
      <c r="Q23" s="122">
        <v>2.767</v>
      </c>
      <c r="R23" s="122">
        <v>16.358</v>
      </c>
      <c r="S23" s="123">
        <v>0.025</v>
      </c>
      <c r="T23" s="122">
        <v>93.133</v>
      </c>
      <c r="U23" s="122">
        <v>67.854</v>
      </c>
      <c r="V23" s="122">
        <v>25.796</v>
      </c>
      <c r="W23" s="122">
        <v>0.124</v>
      </c>
      <c r="X23" s="122">
        <v>6.684</v>
      </c>
      <c r="Y23" s="122">
        <v>5.564</v>
      </c>
      <c r="Z23" s="122">
        <v>2.476</v>
      </c>
      <c r="AA23" s="122">
        <v>8.183</v>
      </c>
      <c r="AB23" s="122">
        <v>69.666</v>
      </c>
      <c r="AC23" s="122">
        <v>1086.119</v>
      </c>
      <c r="AD23" s="124" t="s">
        <v>177</v>
      </c>
      <c r="AE23" s="1011">
        <f t="shared" si="0"/>
        <v>3166.2430000000004</v>
      </c>
      <c r="AF23" s="112"/>
    </row>
    <row r="24" spans="1:31" ht="12.75">
      <c r="A24" s="1012" t="s">
        <v>16</v>
      </c>
      <c r="B24" s="121" t="s">
        <v>9</v>
      </c>
      <c r="C24" s="125">
        <v>188.31</v>
      </c>
      <c r="D24" s="125">
        <v>187.624</v>
      </c>
      <c r="E24" s="125">
        <v>544.135</v>
      </c>
      <c r="F24" s="125">
        <v>1158.696</v>
      </c>
      <c r="G24" s="125">
        <v>3322.269</v>
      </c>
      <c r="H24" s="125">
        <v>56.076</v>
      </c>
      <c r="I24" s="125">
        <v>742.944</v>
      </c>
      <c r="J24" s="125">
        <v>1269.225</v>
      </c>
      <c r="K24" s="125">
        <v>5624.373</v>
      </c>
      <c r="L24" s="125">
        <v>2619.398</v>
      </c>
      <c r="M24" s="125">
        <v>3245.32</v>
      </c>
      <c r="N24" s="125">
        <v>102.975</v>
      </c>
      <c r="O24" s="125">
        <v>96.515</v>
      </c>
      <c r="P24" s="125">
        <v>54.095</v>
      </c>
      <c r="Q24" s="125">
        <v>105.753</v>
      </c>
      <c r="R24" s="125">
        <v>547.229</v>
      </c>
      <c r="S24" s="125">
        <v>95.961</v>
      </c>
      <c r="T24" s="123">
        <v>0.8</v>
      </c>
      <c r="U24" s="125">
        <v>687.817</v>
      </c>
      <c r="V24" s="125">
        <v>498.95</v>
      </c>
      <c r="W24" s="125">
        <v>1191.46</v>
      </c>
      <c r="X24" s="125">
        <v>333.441</v>
      </c>
      <c r="Y24" s="125">
        <v>25.275</v>
      </c>
      <c r="Z24" s="125">
        <v>9.216</v>
      </c>
      <c r="AA24" s="125">
        <v>488.455</v>
      </c>
      <c r="AB24" s="125">
        <v>996.222</v>
      </c>
      <c r="AC24" s="125">
        <v>7671.105</v>
      </c>
      <c r="AD24" s="124" t="s">
        <v>9</v>
      </c>
      <c r="AE24" s="1011">
        <f t="shared" si="0"/>
        <v>31863.639</v>
      </c>
    </row>
    <row r="25" spans="1:31" ht="12.75">
      <c r="A25" s="1012" t="s">
        <v>82</v>
      </c>
      <c r="B25" s="121" t="s">
        <v>10</v>
      </c>
      <c r="C25" s="122">
        <v>402.911</v>
      </c>
      <c r="D25" s="122">
        <v>400.393</v>
      </c>
      <c r="E25" s="122">
        <v>151.861</v>
      </c>
      <c r="F25" s="122">
        <v>418.565</v>
      </c>
      <c r="G25" s="122">
        <v>6429.463</v>
      </c>
      <c r="H25" s="122">
        <v>2.81</v>
      </c>
      <c r="I25" s="122">
        <v>124.029</v>
      </c>
      <c r="J25" s="122">
        <v>658.082</v>
      </c>
      <c r="K25" s="122">
        <v>1395.511</v>
      </c>
      <c r="L25" s="122">
        <v>1051.897</v>
      </c>
      <c r="M25" s="122">
        <v>1202.028</v>
      </c>
      <c r="N25" s="122">
        <v>147.637</v>
      </c>
      <c r="O25" s="122">
        <v>59.901</v>
      </c>
      <c r="P25" s="122">
        <v>43.941</v>
      </c>
      <c r="Q25" s="122">
        <v>56.627</v>
      </c>
      <c r="R25" s="122">
        <v>78.048</v>
      </c>
      <c r="S25" s="122">
        <v>68.355</v>
      </c>
      <c r="T25" s="122">
        <v>684.259</v>
      </c>
      <c r="U25" s="123">
        <v>663.656</v>
      </c>
      <c r="V25" s="122">
        <v>287.382</v>
      </c>
      <c r="W25" s="122">
        <v>81.423</v>
      </c>
      <c r="X25" s="122">
        <v>518.982</v>
      </c>
      <c r="Y25" s="122">
        <v>59.817</v>
      </c>
      <c r="Z25" s="122">
        <v>42.815</v>
      </c>
      <c r="AA25" s="122">
        <v>225.648</v>
      </c>
      <c r="AB25" s="122">
        <v>419.134</v>
      </c>
      <c r="AC25" s="122">
        <v>1694.961</v>
      </c>
      <c r="AD25" s="124" t="s">
        <v>10</v>
      </c>
      <c r="AE25" s="1011">
        <f t="shared" si="0"/>
        <v>17370.136000000002</v>
      </c>
    </row>
    <row r="26" spans="1:31" ht="12.75">
      <c r="A26" s="1012" t="s">
        <v>81</v>
      </c>
      <c r="B26" s="121" t="s">
        <v>83</v>
      </c>
      <c r="C26" s="125">
        <v>418.172</v>
      </c>
      <c r="D26" s="125">
        <v>223.594</v>
      </c>
      <c r="E26" s="125">
        <v>217.256</v>
      </c>
      <c r="F26" s="125">
        <v>364.272</v>
      </c>
      <c r="G26" s="125">
        <v>2861</v>
      </c>
      <c r="H26" s="125">
        <v>21.611</v>
      </c>
      <c r="I26" s="125">
        <v>939.97</v>
      </c>
      <c r="J26" s="125">
        <v>678.118</v>
      </c>
      <c r="K26" s="125">
        <v>1129.135</v>
      </c>
      <c r="L26" s="125">
        <v>871.179</v>
      </c>
      <c r="M26" s="125">
        <v>1114.749</v>
      </c>
      <c r="N26" s="125">
        <v>68.192</v>
      </c>
      <c r="O26" s="125">
        <v>83.831</v>
      </c>
      <c r="P26" s="125">
        <v>60.864</v>
      </c>
      <c r="Q26" s="125">
        <v>0.381</v>
      </c>
      <c r="R26" s="125">
        <v>133.981</v>
      </c>
      <c r="S26" s="125">
        <v>25.975</v>
      </c>
      <c r="T26" s="125">
        <v>499.529</v>
      </c>
      <c r="U26" s="125">
        <v>288.502</v>
      </c>
      <c r="V26" s="123">
        <v>1118.727</v>
      </c>
      <c r="W26" s="125">
        <v>123.551</v>
      </c>
      <c r="X26" s="125">
        <v>66.101</v>
      </c>
      <c r="Y26" s="125">
        <v>5.644</v>
      </c>
      <c r="Z26" s="125">
        <v>3.951</v>
      </c>
      <c r="AA26" s="125">
        <v>228.562</v>
      </c>
      <c r="AB26" s="125">
        <v>578.004</v>
      </c>
      <c r="AC26" s="125">
        <v>4288.57</v>
      </c>
      <c r="AD26" s="124" t="s">
        <v>83</v>
      </c>
      <c r="AE26" s="1011">
        <f t="shared" si="0"/>
        <v>16413.421000000002</v>
      </c>
    </row>
    <row r="27" spans="1:31" ht="12.75">
      <c r="A27" s="1012" t="s">
        <v>93</v>
      </c>
      <c r="B27" s="121" t="s">
        <v>11</v>
      </c>
      <c r="C27" s="122">
        <v>753.942</v>
      </c>
      <c r="D27" s="122">
        <v>4.261</v>
      </c>
      <c r="E27" s="122">
        <v>68.665</v>
      </c>
      <c r="F27" s="122">
        <v>223.828</v>
      </c>
      <c r="G27" s="122">
        <v>2664.166</v>
      </c>
      <c r="H27" s="122">
        <v>4.808</v>
      </c>
      <c r="I27" s="122">
        <v>598.431</v>
      </c>
      <c r="J27" s="122">
        <v>31.663</v>
      </c>
      <c r="K27" s="122">
        <v>3276.789</v>
      </c>
      <c r="L27" s="122">
        <v>3209.088</v>
      </c>
      <c r="M27" s="122">
        <v>1290.431</v>
      </c>
      <c r="N27" s="122">
        <v>1.929</v>
      </c>
      <c r="O27" s="122">
        <v>0.768</v>
      </c>
      <c r="P27" s="122">
        <v>1.017</v>
      </c>
      <c r="Q27" s="122">
        <v>169.859</v>
      </c>
      <c r="R27" s="122">
        <v>56.983</v>
      </c>
      <c r="S27" s="122">
        <v>0.153</v>
      </c>
      <c r="T27" s="122">
        <v>1188.42</v>
      </c>
      <c r="U27" s="122">
        <v>85.41</v>
      </c>
      <c r="V27" s="122">
        <v>125.876</v>
      </c>
      <c r="W27" s="123">
        <v>2898.001</v>
      </c>
      <c r="X27" s="122">
        <v>14.324</v>
      </c>
      <c r="Y27" s="122">
        <v>0.37</v>
      </c>
      <c r="Z27" s="122">
        <v>3.657</v>
      </c>
      <c r="AA27" s="122">
        <v>161.409</v>
      </c>
      <c r="AB27" s="122">
        <v>143.213</v>
      </c>
      <c r="AC27" s="122">
        <v>5368.292</v>
      </c>
      <c r="AD27" s="124" t="s">
        <v>11</v>
      </c>
      <c r="AE27" s="1011">
        <f t="shared" si="0"/>
        <v>22345.753</v>
      </c>
    </row>
    <row r="28" spans="1:31" ht="12.75">
      <c r="A28" s="1012" t="s">
        <v>103</v>
      </c>
      <c r="B28" s="121" t="s">
        <v>105</v>
      </c>
      <c r="C28" s="125">
        <v>233.704</v>
      </c>
      <c r="D28" s="125">
        <v>38.24</v>
      </c>
      <c r="E28" s="125">
        <v>111.528</v>
      </c>
      <c r="F28" s="125">
        <v>21.257</v>
      </c>
      <c r="G28" s="125">
        <v>1256.688</v>
      </c>
      <c r="H28" s="125">
        <v>0.084</v>
      </c>
      <c r="I28" s="125">
        <v>71.997</v>
      </c>
      <c r="J28" s="125">
        <v>231.699</v>
      </c>
      <c r="K28" s="125">
        <v>1144.303</v>
      </c>
      <c r="L28" s="125">
        <v>659.42</v>
      </c>
      <c r="M28" s="125">
        <v>2153.969</v>
      </c>
      <c r="N28" s="125">
        <v>158.878</v>
      </c>
      <c r="O28" s="125">
        <v>1.733</v>
      </c>
      <c r="P28" s="125">
        <v>0.009</v>
      </c>
      <c r="Q28" s="125">
        <v>0.33</v>
      </c>
      <c r="R28" s="125">
        <v>176.571</v>
      </c>
      <c r="S28" s="125">
        <v>6.202</v>
      </c>
      <c r="T28" s="125">
        <v>330.707</v>
      </c>
      <c r="U28" s="125">
        <v>501.682</v>
      </c>
      <c r="V28" s="125">
        <v>70.722</v>
      </c>
      <c r="W28" s="125">
        <v>13.278</v>
      </c>
      <c r="X28" s="123">
        <v>736.139</v>
      </c>
      <c r="Y28" s="125">
        <v>0.155</v>
      </c>
      <c r="Z28" s="125">
        <v>0.031</v>
      </c>
      <c r="AA28" s="125">
        <v>32.077</v>
      </c>
      <c r="AB28" s="125">
        <v>0.001</v>
      </c>
      <c r="AC28" s="125">
        <v>661.329</v>
      </c>
      <c r="AD28" s="124" t="s">
        <v>105</v>
      </c>
      <c r="AE28" s="1011">
        <f t="shared" si="0"/>
        <v>8612.733000000002</v>
      </c>
    </row>
    <row r="29" spans="1:31" ht="12.75">
      <c r="A29" s="1012" t="s">
        <v>84</v>
      </c>
      <c r="B29" s="121" t="s">
        <v>85</v>
      </c>
      <c r="C29" s="122">
        <v>56.361</v>
      </c>
      <c r="D29" s="122">
        <v>7.703</v>
      </c>
      <c r="E29" s="122">
        <v>37.435</v>
      </c>
      <c r="F29" s="122">
        <v>18.117</v>
      </c>
      <c r="G29" s="122">
        <v>199.179</v>
      </c>
      <c r="H29" s="122">
        <v>0.489</v>
      </c>
      <c r="I29" s="122">
        <v>1.851</v>
      </c>
      <c r="J29" s="122">
        <v>66.986</v>
      </c>
      <c r="K29" s="122">
        <v>15.04</v>
      </c>
      <c r="L29" s="122">
        <v>144.111</v>
      </c>
      <c r="M29" s="122">
        <v>1.928</v>
      </c>
      <c r="N29" s="122">
        <v>5.12</v>
      </c>
      <c r="O29" s="128">
        <v>0.417</v>
      </c>
      <c r="P29" s="122">
        <v>1.183</v>
      </c>
      <c r="Q29" s="128">
        <v>0</v>
      </c>
      <c r="R29" s="122">
        <v>0.046</v>
      </c>
      <c r="S29" s="122">
        <v>5.584</v>
      </c>
      <c r="T29" s="122">
        <v>25.269</v>
      </c>
      <c r="U29" s="122">
        <v>59.98</v>
      </c>
      <c r="V29" s="122">
        <v>5.471</v>
      </c>
      <c r="W29" s="122">
        <v>0.043</v>
      </c>
      <c r="X29" s="122">
        <v>0.168</v>
      </c>
      <c r="Y29" s="123">
        <v>0.119</v>
      </c>
      <c r="Z29" s="122">
        <v>0.04</v>
      </c>
      <c r="AA29" s="122">
        <v>22.077</v>
      </c>
      <c r="AB29" s="122">
        <v>5.137</v>
      </c>
      <c r="AC29" s="122">
        <v>126.002</v>
      </c>
      <c r="AD29" s="124" t="s">
        <v>85</v>
      </c>
      <c r="AE29" s="1011">
        <f t="shared" si="0"/>
        <v>805.8559999999999</v>
      </c>
    </row>
    <row r="30" spans="1:32" ht="12.75">
      <c r="A30" s="1014" t="s">
        <v>86</v>
      </c>
      <c r="B30" s="121" t="s">
        <v>179</v>
      </c>
      <c r="C30" s="125">
        <v>70.243</v>
      </c>
      <c r="D30" s="125">
        <v>66.172</v>
      </c>
      <c r="E30" s="125">
        <v>104.528</v>
      </c>
      <c r="F30" s="125">
        <v>0.146</v>
      </c>
      <c r="G30" s="125">
        <v>2.169</v>
      </c>
      <c r="H30" s="129">
        <v>0.415</v>
      </c>
      <c r="I30" s="125">
        <v>87.265</v>
      </c>
      <c r="J30" s="125">
        <v>100.976</v>
      </c>
      <c r="K30" s="125">
        <v>201.901</v>
      </c>
      <c r="L30" s="125">
        <v>72.477</v>
      </c>
      <c r="M30" s="125">
        <v>185.851</v>
      </c>
      <c r="N30" s="125">
        <v>10.002</v>
      </c>
      <c r="O30" s="125">
        <v>0.111</v>
      </c>
      <c r="P30" s="125">
        <v>0.001</v>
      </c>
      <c r="Q30" s="125">
        <v>0.016</v>
      </c>
      <c r="R30" s="125">
        <v>0.139</v>
      </c>
      <c r="S30" s="125">
        <v>2.496</v>
      </c>
      <c r="T30" s="125">
        <v>9.142</v>
      </c>
      <c r="U30" s="125">
        <v>43.092</v>
      </c>
      <c r="V30" s="125">
        <v>3.241</v>
      </c>
      <c r="W30" s="125">
        <v>2.839</v>
      </c>
      <c r="X30" s="125">
        <v>0.054</v>
      </c>
      <c r="Y30" s="125">
        <v>0.038</v>
      </c>
      <c r="Z30" s="123">
        <v>34.134</v>
      </c>
      <c r="AA30" s="125">
        <v>0.565</v>
      </c>
      <c r="AB30" s="125">
        <v>5.724</v>
      </c>
      <c r="AC30" s="125">
        <v>465.013</v>
      </c>
      <c r="AD30" s="124" t="s">
        <v>179</v>
      </c>
      <c r="AE30" s="1011">
        <f t="shared" si="0"/>
        <v>1468.75</v>
      </c>
      <c r="AF30" s="112"/>
    </row>
    <row r="31" spans="1:31" ht="12.75">
      <c r="A31" s="1012" t="s">
        <v>88</v>
      </c>
      <c r="B31" s="121" t="s">
        <v>27</v>
      </c>
      <c r="C31" s="122">
        <v>257.299</v>
      </c>
      <c r="D31" s="122">
        <v>59.866</v>
      </c>
      <c r="E31" s="122">
        <v>138.904</v>
      </c>
      <c r="F31" s="122">
        <v>772.436</v>
      </c>
      <c r="G31" s="122">
        <v>1682.854</v>
      </c>
      <c r="H31" s="122">
        <v>195.649</v>
      </c>
      <c r="I31" s="122">
        <v>20.303</v>
      </c>
      <c r="J31" s="122">
        <v>417.353</v>
      </c>
      <c r="K31" s="122">
        <v>1119.005</v>
      </c>
      <c r="L31" s="122">
        <v>562.485</v>
      </c>
      <c r="M31" s="122">
        <v>512.792</v>
      </c>
      <c r="N31" s="122">
        <v>67.712</v>
      </c>
      <c r="O31" s="122">
        <v>444.426</v>
      </c>
      <c r="P31" s="122">
        <v>112.09</v>
      </c>
      <c r="Q31" s="122">
        <v>0.003</v>
      </c>
      <c r="R31" s="122">
        <v>202.203</v>
      </c>
      <c r="S31" s="122">
        <v>8.253</v>
      </c>
      <c r="T31" s="122">
        <v>482.97</v>
      </c>
      <c r="U31" s="122">
        <v>225.297</v>
      </c>
      <c r="V31" s="122">
        <v>227.344</v>
      </c>
      <c r="W31" s="122">
        <v>158.269</v>
      </c>
      <c r="X31" s="122">
        <v>29.777</v>
      </c>
      <c r="Y31" s="122">
        <v>21.789</v>
      </c>
      <c r="Z31" s="122">
        <v>0.563</v>
      </c>
      <c r="AA31" s="123">
        <v>2754.046</v>
      </c>
      <c r="AB31" s="122">
        <v>1364.989</v>
      </c>
      <c r="AC31" s="122">
        <v>1003.422</v>
      </c>
      <c r="AD31" s="124" t="s">
        <v>27</v>
      </c>
      <c r="AE31" s="1011">
        <f t="shared" si="0"/>
        <v>12842.099</v>
      </c>
    </row>
    <row r="32" spans="1:31" ht="12.75">
      <c r="A32" s="1012" t="s">
        <v>89</v>
      </c>
      <c r="B32" s="121" t="s">
        <v>12</v>
      </c>
      <c r="C32" s="125">
        <v>454.465</v>
      </c>
      <c r="D32" s="125">
        <v>47.213</v>
      </c>
      <c r="E32" s="125">
        <v>175.875</v>
      </c>
      <c r="F32" s="125">
        <v>1588.774</v>
      </c>
      <c r="G32" s="125">
        <v>2710.015</v>
      </c>
      <c r="H32" s="125">
        <v>160.549</v>
      </c>
      <c r="I32" s="125">
        <v>123.631</v>
      </c>
      <c r="J32" s="125">
        <v>757.853</v>
      </c>
      <c r="K32" s="125">
        <v>2364.925</v>
      </c>
      <c r="L32" s="125">
        <v>1079.223</v>
      </c>
      <c r="M32" s="125">
        <v>894.02</v>
      </c>
      <c r="N32" s="125">
        <v>203.045</v>
      </c>
      <c r="O32" s="125">
        <v>226.16</v>
      </c>
      <c r="P32" s="125">
        <v>76.198</v>
      </c>
      <c r="Q32" s="125">
        <v>0.65</v>
      </c>
      <c r="R32" s="125">
        <v>356.689</v>
      </c>
      <c r="S32" s="125">
        <v>68.515</v>
      </c>
      <c r="T32" s="125">
        <v>908.227</v>
      </c>
      <c r="U32" s="125">
        <v>420.269</v>
      </c>
      <c r="V32" s="125">
        <v>577.855</v>
      </c>
      <c r="W32" s="125">
        <v>140.001</v>
      </c>
      <c r="X32" s="125">
        <v>0.286</v>
      </c>
      <c r="Y32" s="125">
        <v>5.198</v>
      </c>
      <c r="Z32" s="125">
        <v>5.472</v>
      </c>
      <c r="AA32" s="125">
        <v>1367.905</v>
      </c>
      <c r="AB32" s="123">
        <v>6929.845</v>
      </c>
      <c r="AC32" s="125">
        <v>2532.08</v>
      </c>
      <c r="AD32" s="124" t="s">
        <v>12</v>
      </c>
      <c r="AE32" s="1011">
        <f t="shared" si="0"/>
        <v>24174.938000000002</v>
      </c>
    </row>
    <row r="33" spans="1:32" ht="12.75">
      <c r="A33" s="1014" t="s">
        <v>13</v>
      </c>
      <c r="B33" s="121" t="s">
        <v>180</v>
      </c>
      <c r="C33" s="1001">
        <v>1233.326</v>
      </c>
      <c r="D33" s="1002">
        <v>878.057</v>
      </c>
      <c r="E33" s="1002">
        <v>1294.752</v>
      </c>
      <c r="F33" s="1002">
        <v>2565.462</v>
      </c>
      <c r="G33" s="1002">
        <v>11626.293</v>
      </c>
      <c r="H33" s="1002">
        <v>244.073</v>
      </c>
      <c r="I33" s="1002">
        <v>9670.591</v>
      </c>
      <c r="J33" s="1002">
        <v>4778.358</v>
      </c>
      <c r="K33" s="1002">
        <v>31467.848</v>
      </c>
      <c r="L33" s="1002">
        <v>10840.56</v>
      </c>
      <c r="M33" s="1002">
        <v>10254.679</v>
      </c>
      <c r="N33" s="1002">
        <v>2658.86</v>
      </c>
      <c r="O33" s="1002">
        <v>584.239</v>
      </c>
      <c r="P33" s="1002">
        <v>564.041</v>
      </c>
      <c r="Q33" s="1002">
        <v>251.733</v>
      </c>
      <c r="R33" s="1002">
        <v>1037.318</v>
      </c>
      <c r="S33" s="1002">
        <v>1091.084</v>
      </c>
      <c r="T33" s="1002">
        <v>7515.525</v>
      </c>
      <c r="U33" s="1002">
        <v>1704.248</v>
      </c>
      <c r="V33" s="1002">
        <v>4260.127</v>
      </c>
      <c r="W33" s="1002">
        <v>5329.203</v>
      </c>
      <c r="X33" s="1002">
        <v>717.069</v>
      </c>
      <c r="Y33" s="1002">
        <v>126.289</v>
      </c>
      <c r="Z33" s="1002">
        <v>468.821</v>
      </c>
      <c r="AA33" s="1002">
        <v>1009.508</v>
      </c>
      <c r="AB33" s="1002">
        <v>2539.793</v>
      </c>
      <c r="AC33" s="1003">
        <v>20920.644</v>
      </c>
      <c r="AD33" s="124" t="s">
        <v>180</v>
      </c>
      <c r="AE33" s="1011">
        <f t="shared" si="0"/>
        <v>135632.501</v>
      </c>
      <c r="AF33" s="112"/>
    </row>
    <row r="34" spans="1:31" ht="12.75">
      <c r="A34" s="1012"/>
      <c r="B34" s="131" t="s">
        <v>181</v>
      </c>
      <c r="C34" s="1004">
        <v>95.91</v>
      </c>
      <c r="D34" s="1005">
        <v>2.751</v>
      </c>
      <c r="E34" s="1005">
        <v>41.366</v>
      </c>
      <c r="F34" s="1005">
        <v>81.174</v>
      </c>
      <c r="G34" s="1005">
        <v>1230.908</v>
      </c>
      <c r="H34" s="1005">
        <v>0.004</v>
      </c>
      <c r="I34" s="1005">
        <v>66.817</v>
      </c>
      <c r="J34" s="1005">
        <v>14.319</v>
      </c>
      <c r="K34" s="1005">
        <v>158.273</v>
      </c>
      <c r="L34" s="1005">
        <v>436.835</v>
      </c>
      <c r="M34" s="1005">
        <v>159.463</v>
      </c>
      <c r="N34" s="1005">
        <v>0.147</v>
      </c>
      <c r="O34" s="1005">
        <v>0.159</v>
      </c>
      <c r="P34" s="1006">
        <v>0</v>
      </c>
      <c r="Q34" s="1005">
        <v>0.08</v>
      </c>
      <c r="R34" s="1005">
        <v>45.486</v>
      </c>
      <c r="S34" s="1005">
        <v>3.545</v>
      </c>
      <c r="T34" s="1005">
        <v>89.87</v>
      </c>
      <c r="U34" s="1005">
        <v>274.175</v>
      </c>
      <c r="V34" s="1005">
        <v>17.462</v>
      </c>
      <c r="W34" s="1005">
        <v>22.995</v>
      </c>
      <c r="X34" s="1005">
        <v>2.846</v>
      </c>
      <c r="Y34" s="1005">
        <v>3.396</v>
      </c>
      <c r="Z34" s="1005">
        <v>3.201</v>
      </c>
      <c r="AA34" s="1005">
        <v>46.297</v>
      </c>
      <c r="AB34" s="1005">
        <v>130.646</v>
      </c>
      <c r="AC34" s="1007">
        <v>630.744</v>
      </c>
      <c r="AD34" s="1008" t="s">
        <v>181</v>
      </c>
      <c r="AE34" s="1011">
        <f t="shared" si="0"/>
        <v>3558.869</v>
      </c>
    </row>
    <row r="35" spans="1:31" ht="12.75">
      <c r="A35" s="1012"/>
      <c r="AE35" s="1012"/>
    </row>
    <row r="36" spans="1:32" ht="12.75">
      <c r="A36" s="1014" t="s">
        <v>161</v>
      </c>
      <c r="B36" s="135" t="s">
        <v>182</v>
      </c>
      <c r="AD36" s="1013" t="s">
        <v>161</v>
      </c>
      <c r="AE36" s="1011">
        <f>SUM(AE7:AE33)</f>
        <v>829190.7830000003</v>
      </c>
      <c r="AF36" s="112"/>
    </row>
    <row r="37" spans="1:32" ht="12.75">
      <c r="A37" s="1014" t="s">
        <v>162</v>
      </c>
      <c r="B37" s="136" t="s">
        <v>183</v>
      </c>
      <c r="C37" t="s">
        <v>184</v>
      </c>
      <c r="AD37" s="1013" t="s">
        <v>162</v>
      </c>
      <c r="AE37" s="1011">
        <f>AE25+AE7+AE10+AE31+AE16+AE11+AE14+AE13+AE17+AE21+AE24+AE27+AE15+AE32+AE33</f>
        <v>764735.189</v>
      </c>
      <c r="AF37" s="112"/>
    </row>
  </sheetData>
  <sheetProtection/>
  <mergeCells count="3">
    <mergeCell ref="B2:AD2"/>
    <mergeCell ref="B3:AD3"/>
    <mergeCell ref="B4:AD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00"/>
  </sheetPr>
  <dimension ref="A1:AA46"/>
  <sheetViews>
    <sheetView zoomScalePageLayoutView="0" workbookViewId="0" topLeftCell="A1">
      <selection activeCell="P35" sqref="P9:P35"/>
    </sheetView>
  </sheetViews>
  <sheetFormatPr defaultColWidth="9.140625" defaultRowHeight="12.75"/>
  <cols>
    <col min="1" max="1" width="2.7109375" style="101" customWidth="1"/>
    <col min="2" max="2" width="3.8515625" style="101" customWidth="1"/>
    <col min="3" max="4" width="6.7109375" style="101" hidden="1" customWidth="1"/>
    <col min="5" max="5" width="6.140625" style="101" customWidth="1"/>
    <col min="6" max="9" width="6.28125" style="101" customWidth="1"/>
    <col min="10" max="22" width="6.140625" style="101" customWidth="1"/>
    <col min="23" max="25" width="6.421875" style="101" customWidth="1"/>
    <col min="26" max="28" width="9.140625" style="101" customWidth="1"/>
  </cols>
  <sheetData>
    <row r="1" spans="2:26" ht="15.75">
      <c r="B1" s="1096"/>
      <c r="C1" s="1096"/>
      <c r="D1" s="558"/>
      <c r="E1" s="100"/>
      <c r="F1" s="100"/>
      <c r="G1" s="100"/>
      <c r="H1" s="100"/>
      <c r="I1" s="100"/>
      <c r="J1" s="100"/>
      <c r="K1" s="100"/>
      <c r="L1" s="100"/>
      <c r="M1" s="100"/>
      <c r="N1" s="100"/>
      <c r="O1" s="100"/>
      <c r="P1" s="100"/>
      <c r="Z1" s="102" t="s">
        <v>134</v>
      </c>
    </row>
    <row r="2" spans="2:26" ht="15.75">
      <c r="B2" s="1083" t="s">
        <v>250</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row>
    <row r="3" spans="2:26" ht="12.75">
      <c r="B3" s="1097" t="s">
        <v>251</v>
      </c>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row>
    <row r="4" spans="2:26" ht="12.75">
      <c r="B4" s="142"/>
      <c r="C4" s="142"/>
      <c r="E4" s="333"/>
      <c r="F4" s="333"/>
      <c r="G4" s="333"/>
      <c r="H4" s="333"/>
      <c r="I4" s="333"/>
      <c r="J4" s="560"/>
      <c r="K4" s="560"/>
      <c r="L4" s="560"/>
      <c r="M4" s="560"/>
      <c r="N4" s="560"/>
      <c r="O4" s="560"/>
      <c r="V4" s="561" t="s">
        <v>21</v>
      </c>
      <c r="W4" s="562"/>
      <c r="X4" s="562"/>
      <c r="Y4" s="562"/>
      <c r="Z4" s="562"/>
    </row>
    <row r="5" spans="2:26" ht="12.75">
      <c r="B5" s="143"/>
      <c r="C5" s="563">
        <v>1970</v>
      </c>
      <c r="D5" s="564">
        <v>1980</v>
      </c>
      <c r="E5" s="564">
        <v>1990</v>
      </c>
      <c r="F5" s="564">
        <v>1991</v>
      </c>
      <c r="G5" s="564">
        <v>1992</v>
      </c>
      <c r="H5" s="564">
        <v>1993</v>
      </c>
      <c r="I5" s="564">
        <v>1994</v>
      </c>
      <c r="J5" s="564">
        <v>1995</v>
      </c>
      <c r="K5" s="564">
        <v>1996</v>
      </c>
      <c r="L5" s="564">
        <v>1997</v>
      </c>
      <c r="M5" s="564">
        <v>1998</v>
      </c>
      <c r="N5" s="564">
        <v>1999</v>
      </c>
      <c r="O5" s="564">
        <v>2000</v>
      </c>
      <c r="P5" s="564">
        <v>2001</v>
      </c>
      <c r="Q5" s="564">
        <v>2002</v>
      </c>
      <c r="R5" s="564">
        <v>2003</v>
      </c>
      <c r="S5" s="564">
        <v>2004</v>
      </c>
      <c r="T5" s="564">
        <v>2005</v>
      </c>
      <c r="U5" s="564">
        <v>2006</v>
      </c>
      <c r="V5" s="564">
        <v>2007</v>
      </c>
      <c r="W5" s="564">
        <v>2008</v>
      </c>
      <c r="X5" s="564">
        <v>2009</v>
      </c>
      <c r="Y5" s="565">
        <v>2010</v>
      </c>
      <c r="Z5" s="346"/>
    </row>
    <row r="6" spans="2:26" ht="12.75">
      <c r="B6" s="148" t="s">
        <v>161</v>
      </c>
      <c r="C6" s="566"/>
      <c r="D6" s="567"/>
      <c r="E6" s="567">
        <v>41885</v>
      </c>
      <c r="F6" s="567">
        <v>42909</v>
      </c>
      <c r="G6" s="567">
        <v>44993</v>
      </c>
      <c r="H6" s="567">
        <v>45834</v>
      </c>
      <c r="I6" s="567">
        <v>46521</v>
      </c>
      <c r="J6" s="568">
        <v>47970</v>
      </c>
      <c r="K6" s="568">
        <v>49050</v>
      </c>
      <c r="L6" s="568">
        <v>50399.9</v>
      </c>
      <c r="M6" s="568">
        <v>52300.1</v>
      </c>
      <c r="N6" s="568">
        <v>53919.1</v>
      </c>
      <c r="O6" s="568">
        <v>54719.1</v>
      </c>
      <c r="P6" s="568">
        <v>56419.7</v>
      </c>
      <c r="Q6" s="568">
        <v>57528</v>
      </c>
      <c r="R6" s="568">
        <v>58843</v>
      </c>
      <c r="S6" s="568">
        <v>60411</v>
      </c>
      <c r="T6" s="569">
        <v>62218</v>
      </c>
      <c r="U6" s="569">
        <v>63766.5</v>
      </c>
      <c r="V6" s="569">
        <v>65299.5</v>
      </c>
      <c r="W6" s="569">
        <v>66814</v>
      </c>
      <c r="X6" s="569">
        <v>68241.9</v>
      </c>
      <c r="Y6" s="570">
        <v>69468.07621146295</v>
      </c>
      <c r="Z6" s="389" t="s">
        <v>161</v>
      </c>
    </row>
    <row r="7" spans="2:26" ht="12.75">
      <c r="B7" s="154" t="s">
        <v>162</v>
      </c>
      <c r="C7" s="571">
        <v>16051</v>
      </c>
      <c r="D7" s="572">
        <v>30454</v>
      </c>
      <c r="E7" s="572">
        <v>39616</v>
      </c>
      <c r="F7" s="572">
        <v>40663</v>
      </c>
      <c r="G7" s="572">
        <v>42701</v>
      </c>
      <c r="H7" s="572">
        <v>43479</v>
      </c>
      <c r="I7" s="572">
        <v>44110</v>
      </c>
      <c r="J7" s="573">
        <v>45468</v>
      </c>
      <c r="K7" s="573">
        <v>46453</v>
      </c>
      <c r="L7" s="573">
        <v>47619.9</v>
      </c>
      <c r="M7" s="573">
        <v>49302.1</v>
      </c>
      <c r="N7" s="573">
        <v>50814.1</v>
      </c>
      <c r="O7" s="573">
        <v>51490.1</v>
      </c>
      <c r="P7" s="573">
        <v>53121.7</v>
      </c>
      <c r="Q7" s="573">
        <v>54084</v>
      </c>
      <c r="R7" s="573">
        <v>55294</v>
      </c>
      <c r="S7" s="573">
        <v>56413</v>
      </c>
      <c r="T7" s="574">
        <v>57995</v>
      </c>
      <c r="U7" s="574">
        <v>59200</v>
      </c>
      <c r="V7" s="574">
        <v>60610</v>
      </c>
      <c r="W7" s="574">
        <v>61635</v>
      </c>
      <c r="X7" s="574">
        <v>62847.9</v>
      </c>
      <c r="Y7" s="575">
        <v>63763.37621146295</v>
      </c>
      <c r="Z7" s="391" t="s">
        <v>162</v>
      </c>
    </row>
    <row r="8" spans="2:27" ht="12.75">
      <c r="B8" s="156" t="s">
        <v>163</v>
      </c>
      <c r="C8" s="576"/>
      <c r="D8" s="577"/>
      <c r="E8" s="577">
        <v>2269</v>
      </c>
      <c r="F8" s="577">
        <v>2246</v>
      </c>
      <c r="G8" s="577">
        <v>2292</v>
      </c>
      <c r="H8" s="577">
        <v>2355</v>
      </c>
      <c r="I8" s="577">
        <v>2411</v>
      </c>
      <c r="J8" s="577">
        <v>2502</v>
      </c>
      <c r="K8" s="577">
        <v>2597</v>
      </c>
      <c r="L8" s="577">
        <v>2780</v>
      </c>
      <c r="M8" s="577">
        <v>2998</v>
      </c>
      <c r="N8" s="577">
        <v>3105</v>
      </c>
      <c r="O8" s="577">
        <v>3229</v>
      </c>
      <c r="P8" s="577">
        <v>3298</v>
      </c>
      <c r="Q8" s="577">
        <v>3444</v>
      </c>
      <c r="R8" s="577">
        <v>3549</v>
      </c>
      <c r="S8" s="577">
        <v>3998</v>
      </c>
      <c r="T8" s="160">
        <v>4223</v>
      </c>
      <c r="U8" s="160">
        <v>4566.5</v>
      </c>
      <c r="V8" s="160">
        <v>4689.5</v>
      </c>
      <c r="W8" s="160">
        <v>5179</v>
      </c>
      <c r="X8" s="160">
        <v>5394</v>
      </c>
      <c r="Y8" s="578">
        <v>5704.699999999997</v>
      </c>
      <c r="Z8" s="579" t="s">
        <v>163</v>
      </c>
      <c r="AA8" s="580" t="s">
        <v>219</v>
      </c>
    </row>
    <row r="9" spans="1:27" ht="12.75">
      <c r="A9" s="120"/>
      <c r="B9" s="107" t="s">
        <v>61</v>
      </c>
      <c r="C9" s="581">
        <v>488</v>
      </c>
      <c r="D9" s="582">
        <v>1203</v>
      </c>
      <c r="E9" s="582">
        <v>1666</v>
      </c>
      <c r="F9" s="582">
        <v>1650</v>
      </c>
      <c r="G9" s="582">
        <v>1658</v>
      </c>
      <c r="H9" s="582">
        <v>1665</v>
      </c>
      <c r="I9" s="582">
        <v>1666</v>
      </c>
      <c r="J9" s="582">
        <v>1666</v>
      </c>
      <c r="K9" s="582">
        <v>1674</v>
      </c>
      <c r="L9" s="582">
        <v>1678.9</v>
      </c>
      <c r="M9" s="582">
        <v>1682.1</v>
      </c>
      <c r="N9" s="582">
        <v>1691.1</v>
      </c>
      <c r="O9" s="582">
        <v>1702.1</v>
      </c>
      <c r="P9" s="582">
        <v>1726.7</v>
      </c>
      <c r="Q9" s="582">
        <v>1729</v>
      </c>
      <c r="R9" s="582">
        <v>1729</v>
      </c>
      <c r="S9" s="582">
        <v>1747</v>
      </c>
      <c r="T9" s="193">
        <v>1747</v>
      </c>
      <c r="U9" s="582">
        <v>1763</v>
      </c>
      <c r="V9" s="582">
        <v>1763</v>
      </c>
      <c r="W9" s="583">
        <v>1763</v>
      </c>
      <c r="X9" s="582">
        <v>1763</v>
      </c>
      <c r="Y9" s="584">
        <v>1763</v>
      </c>
      <c r="Z9" s="585" t="s">
        <v>61</v>
      </c>
      <c r="AA9" s="101" t="s">
        <v>252</v>
      </c>
    </row>
    <row r="10" spans="1:27" ht="12.75">
      <c r="A10" s="120"/>
      <c r="B10" s="154" t="s">
        <v>102</v>
      </c>
      <c r="C10" s="586"/>
      <c r="D10" s="587"/>
      <c r="E10" s="587">
        <v>273</v>
      </c>
      <c r="F10" s="588">
        <v>273</v>
      </c>
      <c r="G10" s="588">
        <v>273</v>
      </c>
      <c r="H10" s="587">
        <v>276</v>
      </c>
      <c r="I10" s="587">
        <v>276</v>
      </c>
      <c r="J10" s="587">
        <v>277</v>
      </c>
      <c r="K10" s="587">
        <v>277</v>
      </c>
      <c r="L10" s="587">
        <v>314</v>
      </c>
      <c r="M10" s="587">
        <v>314</v>
      </c>
      <c r="N10" s="587">
        <v>314</v>
      </c>
      <c r="O10" s="587">
        <v>319</v>
      </c>
      <c r="P10" s="587">
        <v>324</v>
      </c>
      <c r="Q10" s="587">
        <v>324</v>
      </c>
      <c r="R10" s="587">
        <v>328</v>
      </c>
      <c r="S10" s="587">
        <v>331</v>
      </c>
      <c r="T10" s="174">
        <v>331</v>
      </c>
      <c r="U10" s="587">
        <v>394</v>
      </c>
      <c r="V10" s="587">
        <v>418</v>
      </c>
      <c r="W10" s="587">
        <v>418</v>
      </c>
      <c r="X10" s="587">
        <v>418</v>
      </c>
      <c r="Y10" s="589">
        <v>437</v>
      </c>
      <c r="Z10" s="391" t="s">
        <v>102</v>
      </c>
      <c r="AA10" s="101" t="s">
        <v>252</v>
      </c>
    </row>
    <row r="11" spans="1:27" ht="12.75">
      <c r="A11" s="120"/>
      <c r="B11" s="107" t="s">
        <v>62</v>
      </c>
      <c r="C11" s="590"/>
      <c r="D11" s="591"/>
      <c r="E11" s="582">
        <v>357</v>
      </c>
      <c r="F11" s="582">
        <v>362</v>
      </c>
      <c r="G11" s="582">
        <v>366</v>
      </c>
      <c r="H11" s="582">
        <v>390</v>
      </c>
      <c r="I11" s="582">
        <v>392</v>
      </c>
      <c r="J11" s="582">
        <v>414</v>
      </c>
      <c r="K11" s="582">
        <v>423</v>
      </c>
      <c r="L11" s="582">
        <v>486</v>
      </c>
      <c r="M11" s="582">
        <v>499</v>
      </c>
      <c r="N11" s="582">
        <v>499</v>
      </c>
      <c r="O11" s="582">
        <v>501</v>
      </c>
      <c r="P11" s="582">
        <v>517</v>
      </c>
      <c r="Q11" s="582">
        <v>518</v>
      </c>
      <c r="R11" s="582">
        <v>518</v>
      </c>
      <c r="S11" s="582">
        <v>546</v>
      </c>
      <c r="T11" s="193">
        <v>564</v>
      </c>
      <c r="U11" s="582">
        <v>633</v>
      </c>
      <c r="V11" s="582">
        <v>657</v>
      </c>
      <c r="W11" s="582">
        <v>691</v>
      </c>
      <c r="X11" s="582">
        <v>729</v>
      </c>
      <c r="Y11" s="584">
        <v>734</v>
      </c>
      <c r="Z11" s="585" t="s">
        <v>62</v>
      </c>
      <c r="AA11" s="101" t="s">
        <v>252</v>
      </c>
    </row>
    <row r="12" spans="1:27" ht="12.75">
      <c r="A12" s="120"/>
      <c r="B12" s="154" t="s">
        <v>14</v>
      </c>
      <c r="C12" s="586">
        <v>184</v>
      </c>
      <c r="D12" s="587">
        <v>516</v>
      </c>
      <c r="E12" s="587">
        <v>611</v>
      </c>
      <c r="F12" s="587">
        <v>663</v>
      </c>
      <c r="G12" s="587">
        <v>663</v>
      </c>
      <c r="H12" s="587">
        <v>706</v>
      </c>
      <c r="I12" s="587">
        <v>747</v>
      </c>
      <c r="J12" s="587">
        <v>796</v>
      </c>
      <c r="K12" s="587">
        <v>797</v>
      </c>
      <c r="L12" s="587">
        <v>834</v>
      </c>
      <c r="M12" s="587">
        <v>863</v>
      </c>
      <c r="N12" s="587">
        <v>902</v>
      </c>
      <c r="O12" s="587">
        <v>923</v>
      </c>
      <c r="P12" s="587">
        <v>978</v>
      </c>
      <c r="Q12" s="587">
        <v>972</v>
      </c>
      <c r="R12" s="587">
        <v>1010</v>
      </c>
      <c r="S12" s="587">
        <v>1027</v>
      </c>
      <c r="T12" s="174">
        <v>1032</v>
      </c>
      <c r="U12" s="587">
        <v>1032</v>
      </c>
      <c r="V12" s="587">
        <v>1111</v>
      </c>
      <c r="W12" s="587">
        <v>1128</v>
      </c>
      <c r="X12" s="587">
        <v>1130</v>
      </c>
      <c r="Y12" s="589">
        <v>1130</v>
      </c>
      <c r="Z12" s="391" t="s">
        <v>14</v>
      </c>
      <c r="AA12" s="101" t="s">
        <v>253</v>
      </c>
    </row>
    <row r="13" spans="1:27" ht="12.75">
      <c r="A13" s="120"/>
      <c r="B13" s="107" t="s">
        <v>64</v>
      </c>
      <c r="C13" s="581">
        <v>6061</v>
      </c>
      <c r="D13" s="582">
        <v>9225</v>
      </c>
      <c r="E13" s="582">
        <v>10854</v>
      </c>
      <c r="F13" s="582">
        <v>10955</v>
      </c>
      <c r="G13" s="582">
        <v>11013</v>
      </c>
      <c r="H13" s="582">
        <v>11080</v>
      </c>
      <c r="I13" s="582">
        <v>11143</v>
      </c>
      <c r="J13" s="582">
        <v>11190</v>
      </c>
      <c r="K13" s="582">
        <v>11246</v>
      </c>
      <c r="L13" s="582">
        <v>11309</v>
      </c>
      <c r="M13" s="582">
        <v>11427</v>
      </c>
      <c r="N13" s="582">
        <v>11515</v>
      </c>
      <c r="O13" s="582">
        <v>11712</v>
      </c>
      <c r="P13" s="582">
        <v>11786</v>
      </c>
      <c r="Q13" s="582">
        <v>12037</v>
      </c>
      <c r="R13" s="582">
        <v>12044</v>
      </c>
      <c r="S13" s="582">
        <v>12174</v>
      </c>
      <c r="T13" s="193">
        <v>12363</v>
      </c>
      <c r="U13" s="582">
        <v>12531</v>
      </c>
      <c r="V13" s="582">
        <v>12594</v>
      </c>
      <c r="W13" s="582">
        <v>12645</v>
      </c>
      <c r="X13" s="582">
        <v>12813</v>
      </c>
      <c r="Y13" s="584">
        <v>12819</v>
      </c>
      <c r="Z13" s="585" t="s">
        <v>64</v>
      </c>
      <c r="AA13" s="101" t="s">
        <v>252</v>
      </c>
    </row>
    <row r="14" spans="1:27" ht="12.75">
      <c r="A14" s="120"/>
      <c r="B14" s="154" t="s">
        <v>65</v>
      </c>
      <c r="C14" s="586"/>
      <c r="D14" s="587"/>
      <c r="E14" s="587">
        <v>41</v>
      </c>
      <c r="F14" s="587">
        <v>50</v>
      </c>
      <c r="G14" s="587">
        <v>60</v>
      </c>
      <c r="H14" s="587">
        <v>62</v>
      </c>
      <c r="I14" s="587">
        <v>64</v>
      </c>
      <c r="J14" s="587">
        <v>65</v>
      </c>
      <c r="K14" s="587">
        <v>65</v>
      </c>
      <c r="L14" s="587">
        <v>68</v>
      </c>
      <c r="M14" s="587">
        <v>74</v>
      </c>
      <c r="N14" s="587">
        <v>87</v>
      </c>
      <c r="O14" s="587">
        <v>93</v>
      </c>
      <c r="P14" s="587">
        <v>93</v>
      </c>
      <c r="Q14" s="587">
        <v>98</v>
      </c>
      <c r="R14" s="587">
        <v>98</v>
      </c>
      <c r="S14" s="587">
        <v>96</v>
      </c>
      <c r="T14" s="174">
        <v>99</v>
      </c>
      <c r="U14" s="587">
        <v>99</v>
      </c>
      <c r="V14" s="587">
        <v>96</v>
      </c>
      <c r="W14" s="587">
        <v>104</v>
      </c>
      <c r="X14" s="587">
        <v>100</v>
      </c>
      <c r="Y14" s="589">
        <v>115</v>
      </c>
      <c r="Z14" s="391" t="s">
        <v>65</v>
      </c>
      <c r="AA14" s="101" t="s">
        <v>252</v>
      </c>
    </row>
    <row r="15" spans="1:27" ht="12.75">
      <c r="A15" s="120"/>
      <c r="B15" s="107" t="s">
        <v>69</v>
      </c>
      <c r="C15" s="581">
        <v>0</v>
      </c>
      <c r="D15" s="582">
        <v>0</v>
      </c>
      <c r="E15" s="582">
        <v>26</v>
      </c>
      <c r="F15" s="582">
        <v>32</v>
      </c>
      <c r="G15" s="582">
        <v>32</v>
      </c>
      <c r="H15" s="582">
        <v>53</v>
      </c>
      <c r="I15" s="582">
        <v>72</v>
      </c>
      <c r="J15" s="582">
        <v>70</v>
      </c>
      <c r="K15" s="582">
        <v>80</v>
      </c>
      <c r="L15" s="582">
        <v>94</v>
      </c>
      <c r="M15" s="582">
        <v>103</v>
      </c>
      <c r="N15" s="582">
        <v>103</v>
      </c>
      <c r="O15" s="582">
        <v>103</v>
      </c>
      <c r="P15" s="582">
        <v>125</v>
      </c>
      <c r="Q15" s="582">
        <v>125</v>
      </c>
      <c r="R15" s="582">
        <v>176</v>
      </c>
      <c r="S15" s="582">
        <v>192</v>
      </c>
      <c r="T15" s="193">
        <v>247</v>
      </c>
      <c r="U15" s="582">
        <v>270</v>
      </c>
      <c r="V15" s="582">
        <v>269</v>
      </c>
      <c r="W15" s="582">
        <v>423</v>
      </c>
      <c r="X15" s="582">
        <v>663</v>
      </c>
      <c r="Y15" s="584">
        <v>900</v>
      </c>
      <c r="Z15" s="585" t="s">
        <v>69</v>
      </c>
      <c r="AA15" s="101" t="s">
        <v>254</v>
      </c>
    </row>
    <row r="16" spans="1:27" ht="12.75">
      <c r="A16" s="120"/>
      <c r="B16" s="154" t="s">
        <v>15</v>
      </c>
      <c r="C16" s="586">
        <v>11</v>
      </c>
      <c r="D16" s="587">
        <v>91</v>
      </c>
      <c r="E16" s="587">
        <v>190</v>
      </c>
      <c r="F16" s="587">
        <v>225</v>
      </c>
      <c r="G16" s="587">
        <v>280</v>
      </c>
      <c r="H16" s="587">
        <v>330</v>
      </c>
      <c r="I16" s="587">
        <v>380</v>
      </c>
      <c r="J16" s="588">
        <v>421</v>
      </c>
      <c r="K16" s="588">
        <v>467</v>
      </c>
      <c r="L16" s="588">
        <v>509</v>
      </c>
      <c r="M16" s="588">
        <v>526</v>
      </c>
      <c r="N16" s="588">
        <v>547</v>
      </c>
      <c r="O16" s="588">
        <v>615</v>
      </c>
      <c r="P16" s="588">
        <v>743</v>
      </c>
      <c r="Q16" s="588">
        <v>870</v>
      </c>
      <c r="R16" s="588">
        <v>958</v>
      </c>
      <c r="S16" s="588">
        <v>998</v>
      </c>
      <c r="T16" s="592">
        <v>1047</v>
      </c>
      <c r="U16" s="588">
        <v>1050</v>
      </c>
      <c r="V16" s="588">
        <v>1101</v>
      </c>
      <c r="W16" s="588">
        <v>1120</v>
      </c>
      <c r="X16" s="587">
        <v>1166</v>
      </c>
      <c r="Y16" s="593">
        <v>1191.3762114629465</v>
      </c>
      <c r="Z16" s="391" t="s">
        <v>15</v>
      </c>
      <c r="AA16" s="135" t="s">
        <v>220</v>
      </c>
    </row>
    <row r="17" spans="1:27" ht="12.75">
      <c r="A17" s="120"/>
      <c r="B17" s="107" t="s">
        <v>67</v>
      </c>
      <c r="C17" s="581">
        <v>387</v>
      </c>
      <c r="D17" s="582">
        <v>2008</v>
      </c>
      <c r="E17" s="582">
        <v>4976</v>
      </c>
      <c r="F17" s="582">
        <v>5235</v>
      </c>
      <c r="G17" s="582">
        <v>6486</v>
      </c>
      <c r="H17" s="582">
        <v>6577</v>
      </c>
      <c r="I17" s="582">
        <v>6497</v>
      </c>
      <c r="J17" s="582">
        <v>6962</v>
      </c>
      <c r="K17" s="582">
        <v>7295</v>
      </c>
      <c r="L17" s="582">
        <v>7750</v>
      </c>
      <c r="M17" s="582">
        <v>8269</v>
      </c>
      <c r="N17" s="582">
        <v>8893</v>
      </c>
      <c r="O17" s="582">
        <v>9049</v>
      </c>
      <c r="P17" s="582">
        <v>9571</v>
      </c>
      <c r="Q17" s="582">
        <v>9739</v>
      </c>
      <c r="R17" s="582">
        <v>10296</v>
      </c>
      <c r="S17" s="582">
        <v>10747</v>
      </c>
      <c r="T17" s="193">
        <v>11432</v>
      </c>
      <c r="U17" s="582">
        <v>12073</v>
      </c>
      <c r="V17" s="582">
        <v>13013</v>
      </c>
      <c r="W17" s="582">
        <v>13518</v>
      </c>
      <c r="X17" s="582">
        <v>14021</v>
      </c>
      <c r="Y17" s="584">
        <v>14262</v>
      </c>
      <c r="Z17" s="585" t="s">
        <v>67</v>
      </c>
      <c r="AA17" s="101" t="s">
        <v>252</v>
      </c>
    </row>
    <row r="18" spans="1:27" ht="12.75">
      <c r="A18" s="120"/>
      <c r="B18" s="154" t="s">
        <v>68</v>
      </c>
      <c r="C18" s="586">
        <v>1553</v>
      </c>
      <c r="D18" s="587">
        <v>4862</v>
      </c>
      <c r="E18" s="587">
        <v>6824</v>
      </c>
      <c r="F18" s="587">
        <v>7080</v>
      </c>
      <c r="G18" s="587">
        <v>7408</v>
      </c>
      <c r="H18" s="587">
        <v>7614</v>
      </c>
      <c r="I18" s="587">
        <v>7956</v>
      </c>
      <c r="J18" s="587">
        <v>8275</v>
      </c>
      <c r="K18" s="587">
        <v>8596</v>
      </c>
      <c r="L18" s="587">
        <v>8864</v>
      </c>
      <c r="M18" s="587">
        <v>9303</v>
      </c>
      <c r="N18" s="587">
        <v>9626</v>
      </c>
      <c r="O18" s="587">
        <v>9766</v>
      </c>
      <c r="P18" s="587">
        <v>10068</v>
      </c>
      <c r="Q18" s="587">
        <v>10223</v>
      </c>
      <c r="R18" s="587">
        <v>10379</v>
      </c>
      <c r="S18" s="587">
        <v>10486</v>
      </c>
      <c r="T18" s="174">
        <v>10798</v>
      </c>
      <c r="U18" s="587">
        <v>10848</v>
      </c>
      <c r="V18" s="587">
        <v>10958</v>
      </c>
      <c r="W18" s="587">
        <v>11042</v>
      </c>
      <c r="X18" s="587">
        <v>11163</v>
      </c>
      <c r="Y18" s="589">
        <v>11392</v>
      </c>
      <c r="Z18" s="391" t="s">
        <v>68</v>
      </c>
      <c r="AA18" s="101" t="s">
        <v>252</v>
      </c>
    </row>
    <row r="19" spans="1:27" ht="12.75">
      <c r="A19" s="120"/>
      <c r="B19" s="107" t="s">
        <v>70</v>
      </c>
      <c r="C19" s="581">
        <v>3913</v>
      </c>
      <c r="D19" s="582">
        <v>5900</v>
      </c>
      <c r="E19" s="582">
        <v>6193</v>
      </c>
      <c r="F19" s="582">
        <v>6301</v>
      </c>
      <c r="G19" s="582">
        <v>6289</v>
      </c>
      <c r="H19" s="582">
        <v>6401</v>
      </c>
      <c r="I19" s="582">
        <v>6375</v>
      </c>
      <c r="J19" s="582">
        <v>6435</v>
      </c>
      <c r="K19" s="582">
        <v>6465</v>
      </c>
      <c r="L19" s="582">
        <v>6469</v>
      </c>
      <c r="M19" s="582">
        <v>6478</v>
      </c>
      <c r="N19" s="582">
        <v>6478</v>
      </c>
      <c r="O19" s="582">
        <v>6478</v>
      </c>
      <c r="P19" s="582">
        <v>6487</v>
      </c>
      <c r="Q19" s="582">
        <v>6487</v>
      </c>
      <c r="R19" s="582">
        <v>6487</v>
      </c>
      <c r="S19" s="582">
        <v>6532</v>
      </c>
      <c r="T19" s="193">
        <v>6542</v>
      </c>
      <c r="U19" s="582">
        <v>6554</v>
      </c>
      <c r="V19" s="582">
        <v>6588</v>
      </c>
      <c r="W19" s="582">
        <v>6629</v>
      </c>
      <c r="X19" s="582">
        <v>6661</v>
      </c>
      <c r="Y19" s="584">
        <v>6668</v>
      </c>
      <c r="Z19" s="585" t="s">
        <v>70</v>
      </c>
      <c r="AA19" s="101" t="s">
        <v>252</v>
      </c>
    </row>
    <row r="20" spans="1:27" ht="12.75">
      <c r="A20" s="120"/>
      <c r="B20" s="154" t="s">
        <v>72</v>
      </c>
      <c r="C20" s="586"/>
      <c r="D20" s="587"/>
      <c r="E20" s="587">
        <v>120</v>
      </c>
      <c r="F20" s="588">
        <v>120</v>
      </c>
      <c r="G20" s="588">
        <v>120</v>
      </c>
      <c r="H20" s="587">
        <v>154</v>
      </c>
      <c r="I20" s="587">
        <v>159</v>
      </c>
      <c r="J20" s="587">
        <v>167</v>
      </c>
      <c r="K20" s="587">
        <v>167</v>
      </c>
      <c r="L20" s="587">
        <v>194</v>
      </c>
      <c r="M20" s="587">
        <v>204</v>
      </c>
      <c r="N20" s="587">
        <v>216</v>
      </c>
      <c r="O20" s="587">
        <v>257</v>
      </c>
      <c r="P20" s="587">
        <v>257</v>
      </c>
      <c r="Q20" s="587">
        <v>268</v>
      </c>
      <c r="R20" s="587">
        <v>268</v>
      </c>
      <c r="S20" s="587">
        <v>268</v>
      </c>
      <c r="T20" s="594">
        <v>276</v>
      </c>
      <c r="U20" s="587">
        <v>257</v>
      </c>
      <c r="V20" s="587">
        <v>257</v>
      </c>
      <c r="W20" s="587">
        <v>257</v>
      </c>
      <c r="X20" s="587">
        <v>257</v>
      </c>
      <c r="Y20" s="589">
        <v>257</v>
      </c>
      <c r="Z20" s="391" t="s">
        <v>72</v>
      </c>
      <c r="AA20" s="101" t="s">
        <v>252</v>
      </c>
    </row>
    <row r="21" spans="1:26" ht="12.75">
      <c r="A21" s="120"/>
      <c r="B21" s="107" t="s">
        <v>73</v>
      </c>
      <c r="C21" s="581" t="s">
        <v>158</v>
      </c>
      <c r="D21" s="582" t="s">
        <v>158</v>
      </c>
      <c r="E21" s="582" t="s">
        <v>158</v>
      </c>
      <c r="F21" s="582" t="s">
        <v>158</v>
      </c>
      <c r="G21" s="582" t="s">
        <v>158</v>
      </c>
      <c r="H21" s="582" t="s">
        <v>158</v>
      </c>
      <c r="I21" s="582" t="s">
        <v>158</v>
      </c>
      <c r="J21" s="582" t="s">
        <v>158</v>
      </c>
      <c r="K21" s="582" t="s">
        <v>158</v>
      </c>
      <c r="L21" s="582" t="s">
        <v>158</v>
      </c>
      <c r="M21" s="582" t="s">
        <v>158</v>
      </c>
      <c r="N21" s="582" t="s">
        <v>158</v>
      </c>
      <c r="O21" s="582" t="s">
        <v>255</v>
      </c>
      <c r="P21" s="582" t="s">
        <v>158</v>
      </c>
      <c r="Q21" s="582" t="s">
        <v>158</v>
      </c>
      <c r="R21" s="582" t="s">
        <v>158</v>
      </c>
      <c r="S21" s="582" t="s">
        <v>158</v>
      </c>
      <c r="T21" s="193" t="s">
        <v>158</v>
      </c>
      <c r="U21" s="582" t="s">
        <v>158</v>
      </c>
      <c r="V21" s="582" t="s">
        <v>158</v>
      </c>
      <c r="W21" s="582" t="s">
        <v>158</v>
      </c>
      <c r="X21" s="582" t="s">
        <v>158</v>
      </c>
      <c r="Y21" s="584" t="s">
        <v>158</v>
      </c>
      <c r="Z21" s="585" t="s">
        <v>73</v>
      </c>
    </row>
    <row r="22" spans="1:27" ht="12.75">
      <c r="A22" s="120"/>
      <c r="B22" s="154" t="s">
        <v>74</v>
      </c>
      <c r="C22" s="586"/>
      <c r="D22" s="587"/>
      <c r="E22" s="587">
        <v>421</v>
      </c>
      <c r="F22" s="587">
        <v>376</v>
      </c>
      <c r="G22" s="587">
        <v>382</v>
      </c>
      <c r="H22" s="587">
        <v>394</v>
      </c>
      <c r="I22" s="587">
        <v>394</v>
      </c>
      <c r="J22" s="587">
        <v>394</v>
      </c>
      <c r="K22" s="587">
        <v>404</v>
      </c>
      <c r="L22" s="587">
        <v>410</v>
      </c>
      <c r="M22" s="587">
        <v>417</v>
      </c>
      <c r="N22" s="587">
        <v>417</v>
      </c>
      <c r="O22" s="587">
        <v>417</v>
      </c>
      <c r="P22" s="587">
        <v>417</v>
      </c>
      <c r="Q22" s="587">
        <v>417</v>
      </c>
      <c r="R22" s="587">
        <v>417</v>
      </c>
      <c r="S22" s="587">
        <v>417</v>
      </c>
      <c r="T22" s="594">
        <v>417</v>
      </c>
      <c r="U22" s="587">
        <v>309</v>
      </c>
      <c r="V22" s="587">
        <v>309</v>
      </c>
      <c r="W22" s="587">
        <v>309</v>
      </c>
      <c r="X22" s="587">
        <v>309</v>
      </c>
      <c r="Y22" s="589">
        <v>309</v>
      </c>
      <c r="Z22" s="391" t="s">
        <v>74</v>
      </c>
      <c r="AA22" s="101" t="s">
        <v>252</v>
      </c>
    </row>
    <row r="23" spans="1:27" ht="12.75">
      <c r="A23" s="120"/>
      <c r="B23" s="107" t="s">
        <v>77</v>
      </c>
      <c r="C23" s="581">
        <v>7</v>
      </c>
      <c r="D23" s="582">
        <v>44</v>
      </c>
      <c r="E23" s="582">
        <v>78</v>
      </c>
      <c r="F23" s="582">
        <v>78</v>
      </c>
      <c r="G23" s="582">
        <v>95</v>
      </c>
      <c r="H23" s="582">
        <v>100</v>
      </c>
      <c r="I23" s="582">
        <v>121</v>
      </c>
      <c r="J23" s="582">
        <v>123</v>
      </c>
      <c r="K23" s="582">
        <v>115</v>
      </c>
      <c r="L23" s="582">
        <v>118</v>
      </c>
      <c r="M23" s="582">
        <v>115</v>
      </c>
      <c r="N23" s="582">
        <v>115</v>
      </c>
      <c r="O23" s="582">
        <v>114</v>
      </c>
      <c r="P23" s="582">
        <v>126</v>
      </c>
      <c r="Q23" s="582">
        <v>147</v>
      </c>
      <c r="R23" s="582">
        <v>147</v>
      </c>
      <c r="S23" s="582">
        <v>147</v>
      </c>
      <c r="T23" s="193">
        <v>147</v>
      </c>
      <c r="U23" s="582">
        <v>147</v>
      </c>
      <c r="V23" s="582">
        <v>147</v>
      </c>
      <c r="W23" s="582">
        <v>147</v>
      </c>
      <c r="X23" s="582">
        <v>152</v>
      </c>
      <c r="Y23" s="584">
        <v>152</v>
      </c>
      <c r="Z23" s="585" t="s">
        <v>77</v>
      </c>
      <c r="AA23" s="101" t="s">
        <v>256</v>
      </c>
    </row>
    <row r="24" spans="1:27" ht="12.75">
      <c r="A24" s="120"/>
      <c r="B24" s="154" t="s">
        <v>78</v>
      </c>
      <c r="C24" s="586"/>
      <c r="D24" s="587"/>
      <c r="E24" s="587">
        <v>267</v>
      </c>
      <c r="F24" s="587">
        <v>269</v>
      </c>
      <c r="G24" s="587">
        <v>269</v>
      </c>
      <c r="H24" s="587">
        <v>269</v>
      </c>
      <c r="I24" s="587">
        <v>293</v>
      </c>
      <c r="J24" s="587">
        <v>335</v>
      </c>
      <c r="K24" s="587">
        <v>365</v>
      </c>
      <c r="L24" s="587">
        <v>382</v>
      </c>
      <c r="M24" s="587">
        <v>448</v>
      </c>
      <c r="N24" s="587">
        <v>448</v>
      </c>
      <c r="O24" s="587">
        <v>448</v>
      </c>
      <c r="P24" s="587">
        <v>448</v>
      </c>
      <c r="Q24" s="587">
        <v>542</v>
      </c>
      <c r="R24" s="587">
        <v>533</v>
      </c>
      <c r="S24" s="587">
        <v>761</v>
      </c>
      <c r="T24" s="174">
        <v>859</v>
      </c>
      <c r="U24" s="587">
        <v>1157</v>
      </c>
      <c r="V24" s="587">
        <v>1065</v>
      </c>
      <c r="W24" s="587">
        <v>1274</v>
      </c>
      <c r="X24" s="587">
        <v>1273</v>
      </c>
      <c r="Y24" s="589">
        <v>1477</v>
      </c>
      <c r="Z24" s="391" t="s">
        <v>78</v>
      </c>
      <c r="AA24" s="101" t="s">
        <v>257</v>
      </c>
    </row>
    <row r="25" spans="1:26" ht="12.75">
      <c r="A25" s="120"/>
      <c r="B25" s="107" t="s">
        <v>79</v>
      </c>
      <c r="C25" s="581" t="s">
        <v>158</v>
      </c>
      <c r="D25" s="582" t="s">
        <v>158</v>
      </c>
      <c r="E25" s="582" t="s">
        <v>158</v>
      </c>
      <c r="F25" s="582" t="s">
        <v>158</v>
      </c>
      <c r="G25" s="582" t="s">
        <v>158</v>
      </c>
      <c r="H25" s="582" t="s">
        <v>158</v>
      </c>
      <c r="I25" s="582" t="s">
        <v>158</v>
      </c>
      <c r="J25" s="582" t="s">
        <v>158</v>
      </c>
      <c r="K25" s="582" t="s">
        <v>158</v>
      </c>
      <c r="L25" s="582" t="s">
        <v>158</v>
      </c>
      <c r="M25" s="582" t="s">
        <v>158</v>
      </c>
      <c r="N25" s="582" t="s">
        <v>158</v>
      </c>
      <c r="O25" s="582" t="s">
        <v>255</v>
      </c>
      <c r="P25" s="582" t="s">
        <v>158</v>
      </c>
      <c r="Q25" s="582" t="s">
        <v>158</v>
      </c>
      <c r="R25" s="582" t="s">
        <v>158</v>
      </c>
      <c r="S25" s="582" t="s">
        <v>158</v>
      </c>
      <c r="T25" s="193" t="s">
        <v>158</v>
      </c>
      <c r="U25" s="582" t="s">
        <v>158</v>
      </c>
      <c r="V25" s="582" t="s">
        <v>158</v>
      </c>
      <c r="W25" s="582" t="s">
        <v>158</v>
      </c>
      <c r="X25" s="582" t="s">
        <v>158</v>
      </c>
      <c r="Y25" s="584" t="s">
        <v>158</v>
      </c>
      <c r="Z25" s="585" t="s">
        <v>79</v>
      </c>
    </row>
    <row r="26" spans="1:27" ht="12.75">
      <c r="A26" s="120"/>
      <c r="B26" s="154" t="s">
        <v>16</v>
      </c>
      <c r="C26" s="586">
        <v>1209</v>
      </c>
      <c r="D26" s="587">
        <v>1798</v>
      </c>
      <c r="E26" s="587">
        <v>2092</v>
      </c>
      <c r="F26" s="588">
        <v>2092</v>
      </c>
      <c r="G26" s="587">
        <v>2134</v>
      </c>
      <c r="H26" s="587">
        <v>2167</v>
      </c>
      <c r="I26" s="587">
        <v>2208</v>
      </c>
      <c r="J26" s="587">
        <v>2208</v>
      </c>
      <c r="K26" s="587">
        <v>2208</v>
      </c>
      <c r="L26" s="587">
        <v>2225</v>
      </c>
      <c r="M26" s="587">
        <v>2225</v>
      </c>
      <c r="N26" s="587">
        <v>2291</v>
      </c>
      <c r="O26" s="174">
        <v>2265</v>
      </c>
      <c r="P26" s="587">
        <v>2499</v>
      </c>
      <c r="Q26" s="587">
        <v>2516</v>
      </c>
      <c r="R26" s="587">
        <v>2541</v>
      </c>
      <c r="S26" s="587">
        <v>2585</v>
      </c>
      <c r="T26" s="174">
        <v>2600</v>
      </c>
      <c r="U26" s="587">
        <v>2604</v>
      </c>
      <c r="V26" s="587">
        <v>2582</v>
      </c>
      <c r="W26" s="587">
        <v>2637</v>
      </c>
      <c r="X26" s="587">
        <v>2631</v>
      </c>
      <c r="Y26" s="589">
        <v>2651</v>
      </c>
      <c r="Z26" s="391" t="s">
        <v>16</v>
      </c>
      <c r="AA26" s="101" t="s">
        <v>258</v>
      </c>
    </row>
    <row r="27" spans="1:27" ht="12.75">
      <c r="A27" s="120"/>
      <c r="B27" s="107" t="s">
        <v>82</v>
      </c>
      <c r="C27" s="581">
        <v>478</v>
      </c>
      <c r="D27" s="582">
        <v>938</v>
      </c>
      <c r="E27" s="582">
        <v>1445</v>
      </c>
      <c r="F27" s="582">
        <v>1450</v>
      </c>
      <c r="G27" s="582">
        <v>1554</v>
      </c>
      <c r="H27" s="582">
        <v>1557</v>
      </c>
      <c r="I27" s="582">
        <v>1559</v>
      </c>
      <c r="J27" s="582">
        <v>1596</v>
      </c>
      <c r="K27" s="582">
        <v>1607</v>
      </c>
      <c r="L27" s="582">
        <v>1613</v>
      </c>
      <c r="M27" s="582">
        <v>1613</v>
      </c>
      <c r="N27" s="582">
        <v>1634</v>
      </c>
      <c r="O27" s="582">
        <v>1633</v>
      </c>
      <c r="P27" s="582">
        <v>1645</v>
      </c>
      <c r="Q27" s="582">
        <v>1645</v>
      </c>
      <c r="R27" s="582">
        <v>1670</v>
      </c>
      <c r="S27" s="582">
        <v>1677</v>
      </c>
      <c r="T27" s="193">
        <v>1677</v>
      </c>
      <c r="U27" s="582">
        <v>1678</v>
      </c>
      <c r="V27" s="582">
        <v>1696</v>
      </c>
      <c r="W27" s="582">
        <v>1696</v>
      </c>
      <c r="X27" s="582">
        <v>1696</v>
      </c>
      <c r="Y27" s="584">
        <v>1719</v>
      </c>
      <c r="Z27" s="585" t="s">
        <v>82</v>
      </c>
      <c r="AA27" s="101" t="s">
        <v>252</v>
      </c>
    </row>
    <row r="28" spans="1:27" ht="12.75">
      <c r="A28" s="120"/>
      <c r="B28" s="154" t="s">
        <v>81</v>
      </c>
      <c r="C28" s="586"/>
      <c r="D28" s="587"/>
      <c r="E28" s="587">
        <v>257</v>
      </c>
      <c r="F28" s="587">
        <v>239</v>
      </c>
      <c r="G28" s="587">
        <v>257</v>
      </c>
      <c r="H28" s="587">
        <v>231</v>
      </c>
      <c r="I28" s="587">
        <v>245</v>
      </c>
      <c r="J28" s="587">
        <v>246</v>
      </c>
      <c r="K28" s="587">
        <v>258</v>
      </c>
      <c r="L28" s="587">
        <v>264</v>
      </c>
      <c r="M28" s="587">
        <v>268</v>
      </c>
      <c r="N28" s="587">
        <v>317</v>
      </c>
      <c r="O28" s="587">
        <v>358</v>
      </c>
      <c r="P28" s="587">
        <v>398</v>
      </c>
      <c r="Q28" s="587">
        <v>405</v>
      </c>
      <c r="R28" s="587">
        <v>484</v>
      </c>
      <c r="S28" s="587">
        <v>552</v>
      </c>
      <c r="T28" s="174">
        <v>552</v>
      </c>
      <c r="U28" s="587">
        <v>582.5</v>
      </c>
      <c r="V28" s="587">
        <v>662.5</v>
      </c>
      <c r="W28" s="587">
        <v>765</v>
      </c>
      <c r="X28" s="587">
        <v>849</v>
      </c>
      <c r="Y28" s="589">
        <v>857</v>
      </c>
      <c r="Z28" s="391" t="s">
        <v>81</v>
      </c>
      <c r="AA28" s="101" t="s">
        <v>252</v>
      </c>
    </row>
    <row r="29" spans="1:27" ht="12.75">
      <c r="A29" s="120"/>
      <c r="B29" s="107" t="s">
        <v>93</v>
      </c>
      <c r="C29" s="581">
        <v>66</v>
      </c>
      <c r="D29" s="582">
        <v>132</v>
      </c>
      <c r="E29" s="582">
        <v>316</v>
      </c>
      <c r="F29" s="582">
        <v>474</v>
      </c>
      <c r="G29" s="582">
        <v>520</v>
      </c>
      <c r="H29" s="582">
        <v>579</v>
      </c>
      <c r="I29" s="582">
        <v>587</v>
      </c>
      <c r="J29" s="582">
        <v>687</v>
      </c>
      <c r="K29" s="582">
        <v>710</v>
      </c>
      <c r="L29" s="582">
        <v>797</v>
      </c>
      <c r="M29" s="582">
        <v>1252</v>
      </c>
      <c r="N29" s="582">
        <v>1441</v>
      </c>
      <c r="O29" s="582">
        <v>1482</v>
      </c>
      <c r="P29" s="582">
        <v>1659</v>
      </c>
      <c r="Q29" s="582">
        <v>1836</v>
      </c>
      <c r="R29" s="582">
        <v>2002</v>
      </c>
      <c r="S29" s="582">
        <v>2091</v>
      </c>
      <c r="T29" s="193">
        <v>2341</v>
      </c>
      <c r="U29" s="582">
        <v>2545</v>
      </c>
      <c r="V29" s="582">
        <v>2613</v>
      </c>
      <c r="W29" s="582">
        <v>2623</v>
      </c>
      <c r="X29" s="582">
        <v>2705</v>
      </c>
      <c r="Y29" s="584">
        <v>2737</v>
      </c>
      <c r="Z29" s="585" t="s">
        <v>93</v>
      </c>
      <c r="AA29" s="101" t="s">
        <v>252</v>
      </c>
    </row>
    <row r="30" spans="1:27" ht="12.75">
      <c r="A30" s="120"/>
      <c r="B30" s="154" t="s">
        <v>103</v>
      </c>
      <c r="C30" s="586"/>
      <c r="D30" s="587"/>
      <c r="E30" s="587">
        <v>113</v>
      </c>
      <c r="F30" s="587">
        <v>113</v>
      </c>
      <c r="G30" s="587">
        <v>113</v>
      </c>
      <c r="H30" s="587">
        <v>113</v>
      </c>
      <c r="I30" s="587">
        <v>113</v>
      </c>
      <c r="J30" s="587">
        <v>113</v>
      </c>
      <c r="K30" s="587">
        <v>113</v>
      </c>
      <c r="L30" s="587">
        <v>113</v>
      </c>
      <c r="M30" s="587">
        <v>113</v>
      </c>
      <c r="N30" s="587">
        <v>113</v>
      </c>
      <c r="O30" s="587">
        <v>113</v>
      </c>
      <c r="P30" s="587">
        <v>113</v>
      </c>
      <c r="Q30" s="587">
        <v>113</v>
      </c>
      <c r="R30" s="588">
        <v>113</v>
      </c>
      <c r="S30" s="587">
        <v>228</v>
      </c>
      <c r="T30" s="174">
        <v>228</v>
      </c>
      <c r="U30" s="587">
        <v>228</v>
      </c>
      <c r="V30" s="587">
        <v>281</v>
      </c>
      <c r="W30" s="587">
        <v>281</v>
      </c>
      <c r="X30" s="587">
        <v>321</v>
      </c>
      <c r="Y30" s="589">
        <v>332</v>
      </c>
      <c r="Z30" s="391" t="s">
        <v>103</v>
      </c>
      <c r="AA30" s="101" t="s">
        <v>252</v>
      </c>
    </row>
    <row r="31" spans="1:27" ht="12.75">
      <c r="A31" s="120"/>
      <c r="B31" s="107" t="s">
        <v>84</v>
      </c>
      <c r="C31" s="581"/>
      <c r="D31" s="582"/>
      <c r="E31" s="582">
        <v>228</v>
      </c>
      <c r="F31" s="582">
        <v>246</v>
      </c>
      <c r="G31" s="582">
        <v>254</v>
      </c>
      <c r="H31" s="582">
        <v>268</v>
      </c>
      <c r="I31" s="582">
        <v>277</v>
      </c>
      <c r="J31" s="582">
        <v>293</v>
      </c>
      <c r="K31" s="582">
        <v>310</v>
      </c>
      <c r="L31" s="582">
        <v>330</v>
      </c>
      <c r="M31" s="582">
        <v>369</v>
      </c>
      <c r="N31" s="582">
        <v>399</v>
      </c>
      <c r="O31" s="582">
        <v>427</v>
      </c>
      <c r="P31" s="582">
        <v>435</v>
      </c>
      <c r="Q31" s="582">
        <v>457</v>
      </c>
      <c r="R31" s="582">
        <v>477</v>
      </c>
      <c r="S31" s="582">
        <v>483</v>
      </c>
      <c r="T31" s="193">
        <v>569</v>
      </c>
      <c r="U31" s="582">
        <v>579</v>
      </c>
      <c r="V31" s="582">
        <v>579</v>
      </c>
      <c r="W31" s="582">
        <v>696</v>
      </c>
      <c r="X31" s="582">
        <v>747</v>
      </c>
      <c r="Y31" s="584">
        <v>771</v>
      </c>
      <c r="Z31" s="585" t="s">
        <v>84</v>
      </c>
      <c r="AA31" s="101" t="s">
        <v>252</v>
      </c>
    </row>
    <row r="32" spans="1:27" ht="12.75">
      <c r="A32" s="120"/>
      <c r="B32" s="154" t="s">
        <v>86</v>
      </c>
      <c r="C32" s="595"/>
      <c r="D32" s="596"/>
      <c r="E32" s="587">
        <v>192</v>
      </c>
      <c r="F32" s="587">
        <v>198</v>
      </c>
      <c r="G32" s="587">
        <v>198</v>
      </c>
      <c r="H32" s="587">
        <v>198</v>
      </c>
      <c r="I32" s="587">
        <v>198</v>
      </c>
      <c r="J32" s="587">
        <v>198</v>
      </c>
      <c r="K32" s="587">
        <v>215</v>
      </c>
      <c r="L32" s="587">
        <v>219</v>
      </c>
      <c r="M32" s="587">
        <v>292</v>
      </c>
      <c r="N32" s="587">
        <v>295</v>
      </c>
      <c r="O32" s="587">
        <v>296</v>
      </c>
      <c r="P32" s="587">
        <v>296</v>
      </c>
      <c r="Q32" s="587">
        <v>302</v>
      </c>
      <c r="R32" s="587">
        <v>313</v>
      </c>
      <c r="S32" s="587">
        <v>316</v>
      </c>
      <c r="T32" s="174">
        <v>328</v>
      </c>
      <c r="U32" s="587">
        <v>328</v>
      </c>
      <c r="V32" s="587">
        <v>365</v>
      </c>
      <c r="W32" s="587">
        <v>384</v>
      </c>
      <c r="X32" s="587">
        <v>391</v>
      </c>
      <c r="Y32" s="589">
        <v>415.7</v>
      </c>
      <c r="Z32" s="391" t="s">
        <v>86</v>
      </c>
      <c r="AA32" s="101" t="s">
        <v>252</v>
      </c>
    </row>
    <row r="33" spans="1:27" ht="12.75">
      <c r="A33" s="120"/>
      <c r="B33" s="107" t="s">
        <v>88</v>
      </c>
      <c r="C33" s="581">
        <v>108</v>
      </c>
      <c r="D33" s="582">
        <v>204</v>
      </c>
      <c r="E33" s="582">
        <v>225</v>
      </c>
      <c r="F33" s="582">
        <v>249</v>
      </c>
      <c r="G33" s="582">
        <v>318</v>
      </c>
      <c r="H33" s="582">
        <v>337</v>
      </c>
      <c r="I33" s="582">
        <v>388</v>
      </c>
      <c r="J33" s="582">
        <v>394</v>
      </c>
      <c r="K33" s="582">
        <v>431</v>
      </c>
      <c r="L33" s="582">
        <v>444</v>
      </c>
      <c r="M33" s="582">
        <v>473</v>
      </c>
      <c r="N33" s="582">
        <v>512</v>
      </c>
      <c r="O33" s="582">
        <v>549</v>
      </c>
      <c r="P33" s="582">
        <v>591</v>
      </c>
      <c r="Q33" s="582">
        <v>603</v>
      </c>
      <c r="R33" s="582">
        <v>653</v>
      </c>
      <c r="S33" s="582">
        <v>653</v>
      </c>
      <c r="T33" s="193">
        <v>693</v>
      </c>
      <c r="U33" s="582">
        <v>700</v>
      </c>
      <c r="V33" s="582">
        <v>700</v>
      </c>
      <c r="W33" s="582">
        <v>739</v>
      </c>
      <c r="X33" s="582">
        <v>765</v>
      </c>
      <c r="Y33" s="584">
        <v>779</v>
      </c>
      <c r="Z33" s="585" t="s">
        <v>88</v>
      </c>
      <c r="AA33" s="101" t="s">
        <v>252</v>
      </c>
    </row>
    <row r="34" spans="1:27" ht="12.75">
      <c r="A34" s="120"/>
      <c r="B34" s="154" t="s">
        <v>89</v>
      </c>
      <c r="C34" s="586">
        <v>403</v>
      </c>
      <c r="D34" s="587">
        <v>850</v>
      </c>
      <c r="E34" s="587">
        <v>939</v>
      </c>
      <c r="F34" s="587">
        <v>968</v>
      </c>
      <c r="G34" s="587">
        <v>1005</v>
      </c>
      <c r="H34" s="587">
        <v>1061</v>
      </c>
      <c r="I34" s="587">
        <v>1125</v>
      </c>
      <c r="J34" s="587">
        <v>1262</v>
      </c>
      <c r="K34" s="587">
        <v>1350</v>
      </c>
      <c r="L34" s="587">
        <v>1423</v>
      </c>
      <c r="M34" s="587">
        <v>1439</v>
      </c>
      <c r="N34" s="587">
        <v>1484</v>
      </c>
      <c r="O34" s="587">
        <v>1499</v>
      </c>
      <c r="P34" s="587">
        <v>1507</v>
      </c>
      <c r="Q34" s="587">
        <v>1544</v>
      </c>
      <c r="R34" s="587">
        <v>1591</v>
      </c>
      <c r="S34" s="587">
        <v>1700</v>
      </c>
      <c r="T34" s="174">
        <v>1700</v>
      </c>
      <c r="U34" s="587">
        <v>1740</v>
      </c>
      <c r="V34" s="587">
        <v>1806</v>
      </c>
      <c r="W34" s="587">
        <v>1855</v>
      </c>
      <c r="X34" s="587">
        <v>1891</v>
      </c>
      <c r="Y34" s="589">
        <v>1927</v>
      </c>
      <c r="Z34" s="391" t="s">
        <v>89</v>
      </c>
      <c r="AA34" s="101" t="s">
        <v>259</v>
      </c>
    </row>
    <row r="35" spans="1:27" ht="12.75">
      <c r="A35" s="120"/>
      <c r="B35" s="109" t="s">
        <v>13</v>
      </c>
      <c r="C35" s="597">
        <v>1183</v>
      </c>
      <c r="D35" s="598">
        <v>2683</v>
      </c>
      <c r="E35" s="598">
        <v>3181</v>
      </c>
      <c r="F35" s="598">
        <v>3211</v>
      </c>
      <c r="G35" s="598">
        <v>3246</v>
      </c>
      <c r="H35" s="598">
        <v>3252</v>
      </c>
      <c r="I35" s="598">
        <v>3286</v>
      </c>
      <c r="J35" s="598">
        <v>3383</v>
      </c>
      <c r="K35" s="598">
        <v>3412</v>
      </c>
      <c r="L35" s="598">
        <v>3492</v>
      </c>
      <c r="M35" s="598">
        <v>3534</v>
      </c>
      <c r="N35" s="598">
        <v>3582</v>
      </c>
      <c r="O35" s="598">
        <v>3600</v>
      </c>
      <c r="P35" s="598">
        <v>3610</v>
      </c>
      <c r="Q35" s="598">
        <v>3611</v>
      </c>
      <c r="R35" s="598">
        <v>3611</v>
      </c>
      <c r="S35" s="598">
        <v>3657</v>
      </c>
      <c r="T35" s="202">
        <v>3629</v>
      </c>
      <c r="U35" s="598">
        <v>3665</v>
      </c>
      <c r="V35" s="598">
        <v>3669</v>
      </c>
      <c r="W35" s="598">
        <v>3673</v>
      </c>
      <c r="X35" s="598">
        <v>3673.9</v>
      </c>
      <c r="Y35" s="599">
        <v>3673</v>
      </c>
      <c r="Z35" s="600" t="s">
        <v>13</v>
      </c>
      <c r="AA35" s="101" t="s">
        <v>252</v>
      </c>
    </row>
    <row r="36" spans="1:27" ht="12.75">
      <c r="A36" s="120"/>
      <c r="B36" s="154" t="s">
        <v>164</v>
      </c>
      <c r="C36" s="586"/>
      <c r="D36" s="587"/>
      <c r="E36" s="587">
        <v>291</v>
      </c>
      <c r="F36" s="587"/>
      <c r="G36" s="587"/>
      <c r="H36" s="587"/>
      <c r="I36" s="587"/>
      <c r="J36" s="587"/>
      <c r="K36" s="587"/>
      <c r="L36" s="587"/>
      <c r="M36" s="587"/>
      <c r="N36" s="587"/>
      <c r="O36" s="587">
        <v>411</v>
      </c>
      <c r="P36" s="601">
        <v>429</v>
      </c>
      <c r="Q36" s="587">
        <v>455</v>
      </c>
      <c r="R36" s="587">
        <v>554</v>
      </c>
      <c r="S36" s="587">
        <v>742</v>
      </c>
      <c r="T36" s="174">
        <v>792</v>
      </c>
      <c r="U36" s="587">
        <v>877</v>
      </c>
      <c r="V36" s="587">
        <v>959</v>
      </c>
      <c r="W36" s="587">
        <v>1043</v>
      </c>
      <c r="X36" s="587">
        <v>1097</v>
      </c>
      <c r="Y36" s="589">
        <v>1126</v>
      </c>
      <c r="Z36" s="391" t="s">
        <v>164</v>
      </c>
      <c r="AA36" s="101" t="s">
        <v>252</v>
      </c>
    </row>
    <row r="37" spans="1:27" ht="12.75">
      <c r="A37" s="120"/>
      <c r="B37" s="107" t="s">
        <v>165</v>
      </c>
      <c r="C37" s="581"/>
      <c r="D37" s="582"/>
      <c r="E37" s="582">
        <v>83</v>
      </c>
      <c r="F37" s="582"/>
      <c r="G37" s="582"/>
      <c r="H37" s="582"/>
      <c r="I37" s="582"/>
      <c r="J37" s="582"/>
      <c r="K37" s="582"/>
      <c r="L37" s="582"/>
      <c r="M37" s="582"/>
      <c r="N37" s="582"/>
      <c r="O37" s="582"/>
      <c r="P37" s="582">
        <v>145</v>
      </c>
      <c r="Q37" s="582">
        <v>208</v>
      </c>
      <c r="R37" s="582">
        <v>208</v>
      </c>
      <c r="S37" s="582">
        <v>208</v>
      </c>
      <c r="T37" s="193">
        <v>216</v>
      </c>
      <c r="U37" s="582">
        <v>216</v>
      </c>
      <c r="V37" s="582">
        <v>221</v>
      </c>
      <c r="W37" s="582">
        <v>237</v>
      </c>
      <c r="X37" s="582">
        <v>251</v>
      </c>
      <c r="Y37" s="584">
        <v>251</v>
      </c>
      <c r="Z37" s="585" t="s">
        <v>165</v>
      </c>
      <c r="AA37" s="101" t="s">
        <v>257</v>
      </c>
    </row>
    <row r="38" spans="1:27" ht="12.75">
      <c r="A38" s="120"/>
      <c r="B38" s="156" t="s">
        <v>166</v>
      </c>
      <c r="C38" s="602"/>
      <c r="D38" s="603"/>
      <c r="E38" s="603">
        <v>281</v>
      </c>
      <c r="F38" s="603">
        <v>387</v>
      </c>
      <c r="G38" s="603">
        <v>757</v>
      </c>
      <c r="H38" s="603"/>
      <c r="I38" s="603"/>
      <c r="J38" s="603"/>
      <c r="K38" s="603"/>
      <c r="L38" s="603"/>
      <c r="M38" s="603"/>
      <c r="N38" s="603"/>
      <c r="O38" s="603"/>
      <c r="P38" s="603">
        <v>1851</v>
      </c>
      <c r="Q38" s="603">
        <v>1851</v>
      </c>
      <c r="R38" s="603">
        <v>1882</v>
      </c>
      <c r="S38" s="603">
        <v>1741</v>
      </c>
      <c r="T38" s="194">
        <v>1667</v>
      </c>
      <c r="U38" s="603">
        <v>1908</v>
      </c>
      <c r="V38" s="603">
        <v>1908</v>
      </c>
      <c r="W38" s="603">
        <v>1922</v>
      </c>
      <c r="X38" s="603">
        <v>2036</v>
      </c>
      <c r="Y38" s="604">
        <v>2080</v>
      </c>
      <c r="Z38" s="579" t="s">
        <v>166</v>
      </c>
      <c r="AA38" s="101" t="s">
        <v>257</v>
      </c>
    </row>
    <row r="39" spans="1:27" ht="12.75">
      <c r="A39" s="120"/>
      <c r="B39" s="110" t="s">
        <v>167</v>
      </c>
      <c r="C39" s="590" t="s">
        <v>158</v>
      </c>
      <c r="D39" s="591" t="s">
        <v>158</v>
      </c>
      <c r="E39" s="582" t="s">
        <v>158</v>
      </c>
      <c r="F39" s="582" t="s">
        <v>158</v>
      </c>
      <c r="G39" s="582" t="s">
        <v>158</v>
      </c>
      <c r="H39" s="582" t="s">
        <v>158</v>
      </c>
      <c r="I39" s="582" t="s">
        <v>158</v>
      </c>
      <c r="J39" s="582" t="s">
        <v>158</v>
      </c>
      <c r="K39" s="582" t="s">
        <v>158</v>
      </c>
      <c r="L39" s="582" t="s">
        <v>158</v>
      </c>
      <c r="M39" s="582" t="s">
        <v>158</v>
      </c>
      <c r="N39" s="582" t="s">
        <v>158</v>
      </c>
      <c r="O39" s="582" t="s">
        <v>255</v>
      </c>
      <c r="P39" s="582" t="s">
        <v>158</v>
      </c>
      <c r="Q39" s="582" t="s">
        <v>158</v>
      </c>
      <c r="R39" s="582" t="s">
        <v>158</v>
      </c>
      <c r="S39" s="582" t="s">
        <v>158</v>
      </c>
      <c r="T39" s="193">
        <v>11</v>
      </c>
      <c r="U39" s="582">
        <v>11</v>
      </c>
      <c r="V39" s="582">
        <v>11</v>
      </c>
      <c r="W39" s="582">
        <v>11</v>
      </c>
      <c r="X39" s="582">
        <v>11</v>
      </c>
      <c r="Y39" s="584">
        <v>11</v>
      </c>
      <c r="Z39" s="605" t="s">
        <v>167</v>
      </c>
      <c r="AA39" s="101" t="s">
        <v>252</v>
      </c>
    </row>
    <row r="40" spans="1:27" ht="12.75">
      <c r="A40" s="120"/>
      <c r="B40" s="154" t="s">
        <v>168</v>
      </c>
      <c r="C40" s="586">
        <v>41</v>
      </c>
      <c r="D40" s="587">
        <v>57</v>
      </c>
      <c r="E40" s="587">
        <v>73</v>
      </c>
      <c r="F40" s="587"/>
      <c r="G40" s="587"/>
      <c r="H40" s="587"/>
      <c r="I40" s="587">
        <v>94</v>
      </c>
      <c r="J40" s="587">
        <v>107</v>
      </c>
      <c r="K40" s="587">
        <v>103</v>
      </c>
      <c r="L40" s="587">
        <v>109</v>
      </c>
      <c r="M40" s="587">
        <v>128</v>
      </c>
      <c r="N40" s="587">
        <v>128</v>
      </c>
      <c r="O40" s="587">
        <v>144</v>
      </c>
      <c r="P40" s="587">
        <v>143</v>
      </c>
      <c r="Q40" s="587">
        <v>173</v>
      </c>
      <c r="R40" s="588">
        <v>194</v>
      </c>
      <c r="S40" s="587">
        <v>194</v>
      </c>
      <c r="T40" s="174">
        <v>264</v>
      </c>
      <c r="U40" s="587">
        <v>271</v>
      </c>
      <c r="V40" s="587">
        <v>239</v>
      </c>
      <c r="W40" s="587">
        <v>253</v>
      </c>
      <c r="X40" s="587">
        <v>344</v>
      </c>
      <c r="Y40" s="589">
        <v>381</v>
      </c>
      <c r="Z40" s="391" t="s">
        <v>168</v>
      </c>
      <c r="AA40" s="101" t="s">
        <v>252</v>
      </c>
    </row>
    <row r="41" spans="1:27" ht="12.75">
      <c r="A41" s="120"/>
      <c r="B41" s="109" t="s">
        <v>169</v>
      </c>
      <c r="C41" s="597"/>
      <c r="D41" s="598"/>
      <c r="E41" s="598">
        <v>1148</v>
      </c>
      <c r="F41" s="598">
        <v>1152</v>
      </c>
      <c r="G41" s="598">
        <v>1164</v>
      </c>
      <c r="H41" s="598">
        <v>1184</v>
      </c>
      <c r="I41" s="598">
        <v>1184</v>
      </c>
      <c r="J41" s="598">
        <v>1197</v>
      </c>
      <c r="K41" s="598">
        <v>1244</v>
      </c>
      <c r="L41" s="598">
        <v>1244</v>
      </c>
      <c r="M41" s="598">
        <v>1262</v>
      </c>
      <c r="N41" s="598">
        <v>1267</v>
      </c>
      <c r="O41" s="598">
        <v>1270</v>
      </c>
      <c r="P41" s="598">
        <v>1305</v>
      </c>
      <c r="Q41" s="598">
        <v>1304</v>
      </c>
      <c r="R41" s="598">
        <v>1351</v>
      </c>
      <c r="S41" s="598">
        <v>1341</v>
      </c>
      <c r="T41" s="202">
        <v>1358</v>
      </c>
      <c r="U41" s="598">
        <v>1361</v>
      </c>
      <c r="V41" s="598">
        <v>1383</v>
      </c>
      <c r="W41" s="598">
        <v>1383</v>
      </c>
      <c r="X41" s="598">
        <v>1406</v>
      </c>
      <c r="Y41" s="599">
        <v>1406</v>
      </c>
      <c r="Z41" s="600" t="s">
        <v>169</v>
      </c>
      <c r="AA41" s="101" t="s">
        <v>252</v>
      </c>
    </row>
    <row r="42" spans="2:25" ht="12.75">
      <c r="B42" s="1098" t="s">
        <v>260</v>
      </c>
      <c r="C42" s="1098"/>
      <c r="D42" s="1098"/>
      <c r="E42" s="1098"/>
      <c r="F42" s="1098"/>
      <c r="G42" s="1098"/>
      <c r="H42" s="1098"/>
      <c r="I42" s="1098"/>
      <c r="J42" s="1098"/>
      <c r="K42" s="1098"/>
      <c r="L42" s="1098"/>
      <c r="M42" s="1098"/>
      <c r="N42" s="1098"/>
      <c r="O42" s="1098"/>
      <c r="P42" s="1098"/>
      <c r="Q42" s="1098"/>
      <c r="R42" s="1098"/>
      <c r="S42" s="1098"/>
      <c r="T42" s="1098"/>
      <c r="U42" s="1098"/>
      <c r="V42" s="1098"/>
      <c r="W42" s="1098"/>
      <c r="X42" s="206"/>
      <c r="Y42" s="206"/>
    </row>
    <row r="43" spans="2:17" ht="12.75">
      <c r="B43" s="135" t="s">
        <v>261</v>
      </c>
      <c r="C43"/>
      <c r="D43"/>
      <c r="E43"/>
      <c r="F43"/>
      <c r="G43"/>
      <c r="H43"/>
      <c r="I43"/>
      <c r="J43"/>
      <c r="K43"/>
      <c r="L43"/>
      <c r="M43"/>
      <c r="N43"/>
      <c r="O43"/>
      <c r="P43"/>
      <c r="Q43"/>
    </row>
    <row r="44" ht="12.75">
      <c r="B44" s="340" t="s">
        <v>262</v>
      </c>
    </row>
    <row r="45" ht="12.75">
      <c r="B45" s="606" t="s">
        <v>263</v>
      </c>
    </row>
    <row r="46" spans="2:22" ht="12.75">
      <c r="B46" s="340" t="s">
        <v>264</v>
      </c>
      <c r="C46" s="607"/>
      <c r="D46" s="607"/>
      <c r="E46" s="607"/>
      <c r="F46" s="607"/>
      <c r="G46" s="607"/>
      <c r="H46" s="607"/>
      <c r="I46" s="607"/>
      <c r="J46" s="607"/>
      <c r="K46" s="607"/>
      <c r="L46" s="607"/>
      <c r="M46" s="607"/>
      <c r="N46" s="607"/>
      <c r="O46" s="607"/>
      <c r="P46" s="607"/>
      <c r="Q46" s="607"/>
      <c r="R46" s="607"/>
      <c r="S46" s="607"/>
      <c r="T46" s="607"/>
      <c r="U46" s="607"/>
      <c r="V46" s="607"/>
    </row>
  </sheetData>
  <sheetProtection/>
  <mergeCells count="4">
    <mergeCell ref="B1:C1"/>
    <mergeCell ref="B2:Z2"/>
    <mergeCell ref="B3:Z3"/>
    <mergeCell ref="B42:W4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00"/>
  </sheetPr>
  <dimension ref="A1:I48"/>
  <sheetViews>
    <sheetView zoomScalePageLayoutView="0" workbookViewId="0" topLeftCell="A1">
      <selection activeCell="I36" sqref="H36:I36"/>
    </sheetView>
  </sheetViews>
  <sheetFormatPr defaultColWidth="9.140625" defaultRowHeight="12.75"/>
  <cols>
    <col min="1" max="1" width="2.7109375" style="0" customWidth="1"/>
    <col min="2" max="2" width="4.00390625" style="0" customWidth="1"/>
    <col min="3" max="6" width="10.7109375" style="0" customWidth="1"/>
    <col min="7" max="7" width="4.00390625" style="35" customWidth="1"/>
    <col min="8" max="8" width="10.421875" style="0" customWidth="1"/>
    <col min="9" max="9" width="9.7109375" style="0" bestFit="1" customWidth="1"/>
  </cols>
  <sheetData>
    <row r="1" spans="2:7" ht="18">
      <c r="B1" s="1102"/>
      <c r="C1" s="1102"/>
      <c r="D1" s="622"/>
      <c r="E1" s="622"/>
      <c r="F1" s="1103" t="s">
        <v>265</v>
      </c>
      <c r="G1" s="1104"/>
    </row>
    <row r="2" spans="2:7" ht="15.75">
      <c r="B2" s="1089" t="s">
        <v>266</v>
      </c>
      <c r="C2" s="1089"/>
      <c r="D2" s="1089"/>
      <c r="E2" s="1089"/>
      <c r="F2" s="1089"/>
      <c r="G2" s="1089"/>
    </row>
    <row r="3" spans="3:7" ht="12.75">
      <c r="C3" s="1105" t="s">
        <v>267</v>
      </c>
      <c r="D3" s="1105"/>
      <c r="E3" s="1105"/>
      <c r="F3" s="1105"/>
      <c r="G3" s="559"/>
    </row>
    <row r="4" spans="2:7" ht="12.75">
      <c r="B4" s="35"/>
      <c r="C4" s="1106" t="s">
        <v>20</v>
      </c>
      <c r="D4" s="1106" t="s">
        <v>268</v>
      </c>
      <c r="E4" s="1106" t="s">
        <v>269</v>
      </c>
      <c r="F4" s="1106" t="s">
        <v>270</v>
      </c>
      <c r="G4" s="223"/>
    </row>
    <row r="5" spans="2:7" ht="12.75">
      <c r="B5" s="35"/>
      <c r="C5" s="1107"/>
      <c r="D5" s="1107"/>
      <c r="E5" s="1107"/>
      <c r="F5" s="1107"/>
      <c r="G5" s="223"/>
    </row>
    <row r="6" spans="2:7" ht="12.75">
      <c r="B6" s="35"/>
      <c r="C6" s="1107"/>
      <c r="D6" s="1107"/>
      <c r="E6" s="1107"/>
      <c r="F6" s="1107"/>
      <c r="G6" s="223"/>
    </row>
    <row r="7" spans="2:7" ht="12.75">
      <c r="B7" s="35"/>
      <c r="C7" s="1108"/>
      <c r="D7" s="1108"/>
      <c r="E7" s="1108"/>
      <c r="F7" s="1108"/>
      <c r="G7" s="223"/>
    </row>
    <row r="8" spans="2:9" ht="12.75">
      <c r="B8" s="719" t="s">
        <v>162</v>
      </c>
      <c r="C8" s="720">
        <f>C28+C10+C14+C13+C17+C18+C34+C19+C16+C20+C24+C27+C30+C35+C36</f>
        <v>63763.37621146295</v>
      </c>
      <c r="D8" s="720">
        <f>D28+D10+D14+D13+D17+D18+D34+D19+D16+D20+D24+D27+D30+D35+D36</f>
        <v>210258.953</v>
      </c>
      <c r="E8" s="720">
        <f>E28+E10+E14+E13+E17+E18+E34+E19+E16+E20+E24+E27+E30+E35+E36</f>
        <v>1222571.542</v>
      </c>
      <c r="F8" s="720">
        <f>F28+F10+F14+F13+F17+F18+F34+F19+F16+F20+F24+F27+F30+F35+F36</f>
        <v>2141096.088</v>
      </c>
      <c r="G8" s="719" t="s">
        <v>162</v>
      </c>
      <c r="H8" s="721">
        <f>SUM(C8:E8)</f>
        <v>1496593.871211463</v>
      </c>
      <c r="I8" s="721">
        <f>SUM(C8:F8)</f>
        <v>3637689.959211463</v>
      </c>
    </row>
    <row r="9" spans="2:9" ht="12.75">
      <c r="B9" s="719" t="s">
        <v>161</v>
      </c>
      <c r="C9" s="720">
        <f>SUM(C10:C36)</f>
        <v>69468.07621146295</v>
      </c>
      <c r="D9" s="720">
        <f>SUM(D10:D36)</f>
        <v>278961.191</v>
      </c>
      <c r="E9" s="720">
        <f>SUM(E10:E36)</f>
        <v>1543509.8869999996</v>
      </c>
      <c r="F9" s="720">
        <f>SUM(F10:F36)</f>
        <v>2873812.088</v>
      </c>
      <c r="G9" s="719" t="s">
        <v>161</v>
      </c>
      <c r="H9" s="721">
        <f>SUM(C9:E9)</f>
        <v>1891939.1542114625</v>
      </c>
      <c r="I9" s="721">
        <f aca="true" t="shared" si="0" ref="I9:I42">SUM(C9:F9)</f>
        <v>4765751.242211463</v>
      </c>
    </row>
    <row r="10" spans="1:9" ht="12.75">
      <c r="A10" s="120"/>
      <c r="B10" s="110" t="s">
        <v>61</v>
      </c>
      <c r="C10" s="624">
        <v>1763</v>
      </c>
      <c r="D10" s="198">
        <v>13229</v>
      </c>
      <c r="E10" s="198">
        <v>1349</v>
      </c>
      <c r="F10" s="625">
        <v>138869</v>
      </c>
      <c r="G10" s="110" t="s">
        <v>61</v>
      </c>
      <c r="H10" s="721">
        <f>SUM(C10:E10)</f>
        <v>16341</v>
      </c>
      <c r="I10" s="721">
        <f t="shared" si="0"/>
        <v>155210</v>
      </c>
    </row>
    <row r="11" spans="1:9" ht="12.75">
      <c r="A11" s="120"/>
      <c r="B11" s="154" t="s">
        <v>102</v>
      </c>
      <c r="C11" s="626">
        <v>437</v>
      </c>
      <c r="D11" s="174">
        <v>2970</v>
      </c>
      <c r="E11" s="178">
        <v>4030</v>
      </c>
      <c r="F11" s="627">
        <v>12019</v>
      </c>
      <c r="G11" s="154" t="s">
        <v>102</v>
      </c>
      <c r="H11" s="721">
        <f aca="true" t="shared" si="1" ref="H11:H42">SUM(C11:E11)</f>
        <v>7437</v>
      </c>
      <c r="I11" s="721">
        <f t="shared" si="0"/>
        <v>19456</v>
      </c>
    </row>
    <row r="12" spans="1:9" ht="12.75">
      <c r="A12" s="120"/>
      <c r="B12" s="107" t="s">
        <v>62</v>
      </c>
      <c r="C12" s="628">
        <v>734</v>
      </c>
      <c r="D12" s="193">
        <v>6225</v>
      </c>
      <c r="E12" s="193">
        <v>48763</v>
      </c>
      <c r="F12" s="629">
        <v>74919</v>
      </c>
      <c r="G12" s="107" t="s">
        <v>62</v>
      </c>
      <c r="H12" s="721">
        <f t="shared" si="1"/>
        <v>55722</v>
      </c>
      <c r="I12" s="721">
        <f t="shared" si="0"/>
        <v>130641</v>
      </c>
    </row>
    <row r="13" spans="1:9" ht="12.75">
      <c r="A13" s="120"/>
      <c r="B13" s="630" t="s">
        <v>14</v>
      </c>
      <c r="C13" s="631">
        <v>1130</v>
      </c>
      <c r="D13" s="632">
        <v>2705</v>
      </c>
      <c r="E13" s="1018">
        <v>70336</v>
      </c>
      <c r="F13" s="1019"/>
      <c r="G13" s="630" t="s">
        <v>14</v>
      </c>
      <c r="H13" s="721">
        <f t="shared" si="1"/>
        <v>74171</v>
      </c>
      <c r="I13" s="721">
        <f t="shared" si="0"/>
        <v>74171</v>
      </c>
    </row>
    <row r="14" spans="1:9" ht="12.75">
      <c r="A14" s="120"/>
      <c r="B14" s="107" t="s">
        <v>64</v>
      </c>
      <c r="C14" s="628">
        <v>12819</v>
      </c>
      <c r="D14" s="193">
        <v>39710</v>
      </c>
      <c r="E14" s="193">
        <v>178253</v>
      </c>
      <c r="F14" s="633"/>
      <c r="G14" s="107" t="s">
        <v>64</v>
      </c>
      <c r="H14" s="721">
        <f t="shared" si="1"/>
        <v>230782</v>
      </c>
      <c r="I14" s="721">
        <f t="shared" si="0"/>
        <v>230782</v>
      </c>
    </row>
    <row r="15" spans="1:9" ht="12.75">
      <c r="A15" s="120"/>
      <c r="B15" s="154" t="s">
        <v>65</v>
      </c>
      <c r="C15" s="626">
        <v>115</v>
      </c>
      <c r="D15" s="174">
        <v>4003</v>
      </c>
      <c r="E15" s="174">
        <v>12440</v>
      </c>
      <c r="F15" s="634">
        <v>42072</v>
      </c>
      <c r="G15" s="154" t="s">
        <v>65</v>
      </c>
      <c r="H15" s="721">
        <f t="shared" si="1"/>
        <v>16558</v>
      </c>
      <c r="I15" s="721">
        <f t="shared" si="0"/>
        <v>58630</v>
      </c>
    </row>
    <row r="16" spans="1:9" ht="12.75">
      <c r="A16" s="120"/>
      <c r="B16" s="107" t="s">
        <v>69</v>
      </c>
      <c r="C16" s="628">
        <v>900</v>
      </c>
      <c r="D16" s="193">
        <v>4780</v>
      </c>
      <c r="E16" s="193">
        <v>11631</v>
      </c>
      <c r="F16" s="629">
        <v>78958</v>
      </c>
      <c r="G16" s="107" t="s">
        <v>69</v>
      </c>
      <c r="H16" s="721">
        <f t="shared" si="1"/>
        <v>17311</v>
      </c>
      <c r="I16" s="721">
        <f t="shared" si="0"/>
        <v>96269</v>
      </c>
    </row>
    <row r="17" spans="1:9" ht="12.75">
      <c r="A17" s="120"/>
      <c r="B17" s="154" t="s">
        <v>15</v>
      </c>
      <c r="C17" s="635">
        <v>1191.3762114629465</v>
      </c>
      <c r="D17" s="174">
        <v>9299</v>
      </c>
      <c r="E17" s="174">
        <v>30864</v>
      </c>
      <c r="F17" s="634">
        <v>75600</v>
      </c>
      <c r="G17" s="154" t="s">
        <v>15</v>
      </c>
      <c r="H17" s="721">
        <f t="shared" si="1"/>
        <v>41354.37621146295</v>
      </c>
      <c r="I17" s="721">
        <f t="shared" si="0"/>
        <v>116954.37621146295</v>
      </c>
    </row>
    <row r="18" spans="1:9" ht="12.75">
      <c r="A18" s="120"/>
      <c r="B18" s="107" t="s">
        <v>67</v>
      </c>
      <c r="C18" s="628">
        <v>14262</v>
      </c>
      <c r="D18" s="193">
        <v>15103</v>
      </c>
      <c r="E18" s="193">
        <v>136422</v>
      </c>
      <c r="F18" s="633">
        <v>501053</v>
      </c>
      <c r="G18" s="107" t="s">
        <v>67</v>
      </c>
      <c r="H18" s="721">
        <f t="shared" si="1"/>
        <v>165787</v>
      </c>
      <c r="I18" s="721">
        <f t="shared" si="0"/>
        <v>666840</v>
      </c>
    </row>
    <row r="19" spans="1:9" ht="12.75">
      <c r="A19" s="120"/>
      <c r="B19" s="154" t="s">
        <v>68</v>
      </c>
      <c r="C19" s="626">
        <v>11392</v>
      </c>
      <c r="D19" s="174">
        <v>9754</v>
      </c>
      <c r="E19" s="174">
        <v>377769</v>
      </c>
      <c r="F19" s="634">
        <v>651202</v>
      </c>
      <c r="G19" s="154" t="s">
        <v>68</v>
      </c>
      <c r="H19" s="721">
        <f t="shared" si="1"/>
        <v>398915</v>
      </c>
      <c r="I19" s="721">
        <f t="shared" si="0"/>
        <v>1050117</v>
      </c>
    </row>
    <row r="20" spans="1:9" ht="12.75">
      <c r="A20" s="120"/>
      <c r="B20" s="107" t="s">
        <v>70</v>
      </c>
      <c r="C20" s="628">
        <v>6668</v>
      </c>
      <c r="D20" s="193">
        <v>20856</v>
      </c>
      <c r="E20" s="193">
        <v>158895</v>
      </c>
      <c r="F20" s="629">
        <v>68986</v>
      </c>
      <c r="G20" s="107" t="s">
        <v>70</v>
      </c>
      <c r="H20" s="721">
        <f t="shared" si="1"/>
        <v>186419</v>
      </c>
      <c r="I20" s="721">
        <f t="shared" si="0"/>
        <v>255405</v>
      </c>
    </row>
    <row r="21" spans="1:9" ht="12.75">
      <c r="A21" s="120"/>
      <c r="B21" s="154" t="s">
        <v>72</v>
      </c>
      <c r="C21" s="626">
        <v>257</v>
      </c>
      <c r="D21" s="174">
        <v>2186</v>
      </c>
      <c r="E21" s="174">
        <v>2753</v>
      </c>
      <c r="F21" s="634">
        <v>4248</v>
      </c>
      <c r="G21" s="154" t="s">
        <v>72</v>
      </c>
      <c r="H21" s="721">
        <f t="shared" si="1"/>
        <v>5196</v>
      </c>
      <c r="I21" s="721">
        <f t="shared" si="0"/>
        <v>9444</v>
      </c>
    </row>
    <row r="22" spans="1:9" ht="12.75">
      <c r="A22" s="120"/>
      <c r="B22" s="107" t="s">
        <v>73</v>
      </c>
      <c r="C22" s="636" t="s">
        <v>158</v>
      </c>
      <c r="D22" s="193">
        <v>1653</v>
      </c>
      <c r="E22" s="193">
        <v>5316</v>
      </c>
      <c r="F22" s="629">
        <v>58173</v>
      </c>
      <c r="G22" s="107" t="s">
        <v>73</v>
      </c>
      <c r="H22" s="721">
        <f t="shared" si="1"/>
        <v>6969</v>
      </c>
      <c r="I22" s="721">
        <f t="shared" si="0"/>
        <v>65142</v>
      </c>
    </row>
    <row r="23" spans="1:9" ht="12.75">
      <c r="A23" s="120"/>
      <c r="B23" s="154" t="s">
        <v>74</v>
      </c>
      <c r="C23" s="626">
        <v>309</v>
      </c>
      <c r="D23" s="178">
        <v>6366</v>
      </c>
      <c r="E23" s="178">
        <v>14591</v>
      </c>
      <c r="F23" s="627">
        <v>50781</v>
      </c>
      <c r="G23" s="154" t="s">
        <v>74</v>
      </c>
      <c r="H23" s="721">
        <f t="shared" si="1"/>
        <v>21266</v>
      </c>
      <c r="I23" s="721">
        <f t="shared" si="0"/>
        <v>72047</v>
      </c>
    </row>
    <row r="24" spans="1:9" ht="12.75">
      <c r="A24" s="120"/>
      <c r="B24" s="107" t="s">
        <v>77</v>
      </c>
      <c r="C24" s="628">
        <v>152</v>
      </c>
      <c r="D24" s="193">
        <v>837</v>
      </c>
      <c r="E24" s="1020">
        <v>1891</v>
      </c>
      <c r="F24" s="1021"/>
      <c r="G24" s="107" t="s">
        <v>77</v>
      </c>
      <c r="H24" s="721">
        <f t="shared" si="1"/>
        <v>2880</v>
      </c>
      <c r="I24" s="721">
        <f t="shared" si="0"/>
        <v>2880</v>
      </c>
    </row>
    <row r="25" spans="1:9" ht="12.75">
      <c r="A25" s="120"/>
      <c r="B25" s="630" t="s">
        <v>78</v>
      </c>
      <c r="C25" s="631">
        <v>1477</v>
      </c>
      <c r="D25" s="632">
        <v>6820.6</v>
      </c>
      <c r="E25" s="632">
        <v>23330.4</v>
      </c>
      <c r="F25" s="637">
        <v>167939.3</v>
      </c>
      <c r="G25" s="630" t="s">
        <v>78</v>
      </c>
      <c r="H25" s="721">
        <f t="shared" si="1"/>
        <v>31628</v>
      </c>
      <c r="I25" s="721">
        <f t="shared" si="0"/>
        <v>199567.3</v>
      </c>
    </row>
    <row r="26" spans="1:9" ht="12.75">
      <c r="A26" s="120"/>
      <c r="B26" s="107" t="s">
        <v>79</v>
      </c>
      <c r="C26" s="636" t="s">
        <v>158</v>
      </c>
      <c r="D26" s="193">
        <v>184</v>
      </c>
      <c r="E26" s="193">
        <v>665</v>
      </c>
      <c r="F26" s="629">
        <v>1379</v>
      </c>
      <c r="G26" s="107" t="s">
        <v>79</v>
      </c>
      <c r="H26" s="721">
        <f t="shared" si="1"/>
        <v>849</v>
      </c>
      <c r="I26" s="721">
        <f t="shared" si="0"/>
        <v>2228</v>
      </c>
    </row>
    <row r="27" spans="1:9" ht="12.75">
      <c r="A27" s="120"/>
      <c r="B27" s="154" t="s">
        <v>16</v>
      </c>
      <c r="C27" s="626">
        <v>2651</v>
      </c>
      <c r="D27" s="174">
        <v>2470</v>
      </c>
      <c r="E27" s="174">
        <v>7863</v>
      </c>
      <c r="F27" s="634">
        <v>124707</v>
      </c>
      <c r="G27" s="154" t="s">
        <v>16</v>
      </c>
      <c r="H27" s="721">
        <f t="shared" si="1"/>
        <v>12984</v>
      </c>
      <c r="I27" s="721">
        <f t="shared" si="0"/>
        <v>137691</v>
      </c>
    </row>
    <row r="28" spans="1:9" ht="12.75">
      <c r="A28" s="120"/>
      <c r="B28" s="107" t="s">
        <v>82</v>
      </c>
      <c r="C28" s="628">
        <v>1719</v>
      </c>
      <c r="D28" s="193">
        <v>10468.953000000001</v>
      </c>
      <c r="E28" s="193">
        <v>23653.542</v>
      </c>
      <c r="F28" s="629">
        <v>88665.588</v>
      </c>
      <c r="G28" s="107" t="s">
        <v>82</v>
      </c>
      <c r="H28" s="721">
        <f t="shared" si="1"/>
        <v>35841.495</v>
      </c>
      <c r="I28" s="721">
        <f t="shared" si="0"/>
        <v>124507.08300000001</v>
      </c>
    </row>
    <row r="29" spans="1:9" ht="12.75">
      <c r="A29" s="120"/>
      <c r="B29" s="154" t="s">
        <v>81</v>
      </c>
      <c r="C29" s="626">
        <v>857</v>
      </c>
      <c r="D29" s="174">
        <v>17750.9</v>
      </c>
      <c r="E29" s="174">
        <v>154634</v>
      </c>
      <c r="F29" s="634">
        <v>232880</v>
      </c>
      <c r="G29" s="154" t="s">
        <v>81</v>
      </c>
      <c r="H29" s="721">
        <f t="shared" si="1"/>
        <v>173241.9</v>
      </c>
      <c r="I29" s="721">
        <f t="shared" si="0"/>
        <v>406121.9</v>
      </c>
    </row>
    <row r="30" spans="1:9" ht="12.75">
      <c r="A30" s="120"/>
      <c r="B30" s="107" t="s">
        <v>93</v>
      </c>
      <c r="C30" s="628">
        <v>2737</v>
      </c>
      <c r="D30" s="193">
        <v>5966</v>
      </c>
      <c r="E30" s="193">
        <v>4420</v>
      </c>
      <c r="F30" s="633"/>
      <c r="G30" s="107" t="s">
        <v>93</v>
      </c>
      <c r="H30" s="721">
        <f t="shared" si="1"/>
        <v>13123</v>
      </c>
      <c r="I30" s="721">
        <f t="shared" si="0"/>
        <v>13123</v>
      </c>
    </row>
    <row r="31" spans="1:9" ht="12.75">
      <c r="A31" s="120"/>
      <c r="B31" s="154" t="s">
        <v>103</v>
      </c>
      <c r="C31" s="626">
        <v>332</v>
      </c>
      <c r="D31" s="174">
        <v>16220</v>
      </c>
      <c r="E31" s="638">
        <v>35221</v>
      </c>
      <c r="F31" s="627">
        <v>30613</v>
      </c>
      <c r="G31" s="154" t="s">
        <v>103</v>
      </c>
      <c r="H31" s="721">
        <f t="shared" si="1"/>
        <v>51773</v>
      </c>
      <c r="I31" s="721">
        <f t="shared" si="0"/>
        <v>82386</v>
      </c>
    </row>
    <row r="32" spans="1:9" ht="12.75">
      <c r="A32" s="120"/>
      <c r="B32" s="107" t="s">
        <v>84</v>
      </c>
      <c r="C32" s="628">
        <v>771</v>
      </c>
      <c r="D32" s="193">
        <v>816.7</v>
      </c>
      <c r="E32" s="193">
        <v>5143.4</v>
      </c>
      <c r="F32" s="629">
        <v>32341.800000000003</v>
      </c>
      <c r="G32" s="107" t="s">
        <v>84</v>
      </c>
      <c r="H32" s="721">
        <f t="shared" si="1"/>
        <v>6731.099999999999</v>
      </c>
      <c r="I32" s="721">
        <f t="shared" si="0"/>
        <v>39072.9</v>
      </c>
    </row>
    <row r="33" spans="1:9" ht="12.75">
      <c r="A33" s="120"/>
      <c r="B33" s="154" t="s">
        <v>86</v>
      </c>
      <c r="C33" s="626">
        <v>415.7</v>
      </c>
      <c r="D33" s="174">
        <v>3507.038</v>
      </c>
      <c r="E33" s="174">
        <v>14051.545</v>
      </c>
      <c r="F33" s="639">
        <v>25350.9</v>
      </c>
      <c r="G33" s="154" t="s">
        <v>86</v>
      </c>
      <c r="H33" s="721">
        <f t="shared" si="1"/>
        <v>17974.283</v>
      </c>
      <c r="I33" s="721">
        <f t="shared" si="0"/>
        <v>43325.183000000005</v>
      </c>
    </row>
    <row r="34" spans="1:9" ht="12.75">
      <c r="A34" s="120"/>
      <c r="B34" s="107" t="s">
        <v>88</v>
      </c>
      <c r="C34" s="628">
        <v>779</v>
      </c>
      <c r="D34" s="193">
        <v>12550</v>
      </c>
      <c r="E34" s="193">
        <v>13574</v>
      </c>
      <c r="F34" s="629">
        <v>51258</v>
      </c>
      <c r="G34" s="107" t="s">
        <v>88</v>
      </c>
      <c r="H34" s="721">
        <f t="shared" si="1"/>
        <v>26903</v>
      </c>
      <c r="I34" s="721">
        <f t="shared" si="0"/>
        <v>78161</v>
      </c>
    </row>
    <row r="35" spans="1:9" ht="12.75">
      <c r="A35" s="120"/>
      <c r="B35" s="154" t="s">
        <v>89</v>
      </c>
      <c r="C35" s="174">
        <v>1927</v>
      </c>
      <c r="D35" s="174">
        <v>13507</v>
      </c>
      <c r="E35" s="174">
        <v>83031</v>
      </c>
      <c r="F35" s="634">
        <v>117487</v>
      </c>
      <c r="G35" s="154" t="s">
        <v>89</v>
      </c>
      <c r="H35" s="721">
        <f t="shared" si="1"/>
        <v>98465</v>
      </c>
      <c r="I35" s="721">
        <f t="shared" si="0"/>
        <v>215952</v>
      </c>
    </row>
    <row r="36" spans="1:9" ht="12.75">
      <c r="A36" s="120"/>
      <c r="B36" s="107" t="s">
        <v>13</v>
      </c>
      <c r="C36" s="628">
        <v>3673</v>
      </c>
      <c r="D36" s="193">
        <v>49024</v>
      </c>
      <c r="E36" s="193">
        <v>122620</v>
      </c>
      <c r="F36" s="629">
        <v>244310.5</v>
      </c>
      <c r="G36" s="107" t="s">
        <v>13</v>
      </c>
      <c r="H36" s="721">
        <f t="shared" si="1"/>
        <v>175317</v>
      </c>
      <c r="I36" s="721">
        <f t="shared" si="0"/>
        <v>419627.5</v>
      </c>
    </row>
    <row r="37" spans="1:9" ht="12.75">
      <c r="A37" s="120"/>
      <c r="B37" s="148" t="s">
        <v>164</v>
      </c>
      <c r="C37" s="640">
        <v>1126</v>
      </c>
      <c r="D37" s="190">
        <v>6929</v>
      </c>
      <c r="E37" s="190">
        <v>10936</v>
      </c>
      <c r="F37" s="641">
        <v>10342</v>
      </c>
      <c r="G37" s="148" t="s">
        <v>164</v>
      </c>
      <c r="H37" s="721">
        <f t="shared" si="1"/>
        <v>18991</v>
      </c>
      <c r="I37" s="721">
        <f t="shared" si="0"/>
        <v>29333</v>
      </c>
    </row>
    <row r="38" spans="1:9" ht="12.75">
      <c r="A38" s="120"/>
      <c r="B38" s="107" t="s">
        <v>165</v>
      </c>
      <c r="C38" s="628">
        <v>251</v>
      </c>
      <c r="D38" s="193">
        <v>660</v>
      </c>
      <c r="E38" s="193">
        <v>3772</v>
      </c>
      <c r="F38" s="629">
        <v>9300</v>
      </c>
      <c r="G38" s="107" t="s">
        <v>165</v>
      </c>
      <c r="H38" s="721">
        <f t="shared" si="1"/>
        <v>4683</v>
      </c>
      <c r="I38" s="721">
        <f t="shared" si="0"/>
        <v>13983</v>
      </c>
    </row>
    <row r="39" spans="1:9" ht="12.75">
      <c r="A39" s="120"/>
      <c r="B39" s="156" t="s">
        <v>166</v>
      </c>
      <c r="C39" s="642">
        <v>2080</v>
      </c>
      <c r="D39" s="194">
        <v>31395</v>
      </c>
      <c r="E39" s="194">
        <v>31390</v>
      </c>
      <c r="F39" s="643">
        <v>302398</v>
      </c>
      <c r="G39" s="156" t="s">
        <v>166</v>
      </c>
      <c r="H39" s="721">
        <f t="shared" si="1"/>
        <v>64865</v>
      </c>
      <c r="I39" s="721">
        <f t="shared" si="0"/>
        <v>367263</v>
      </c>
    </row>
    <row r="40" spans="1:9" ht="12.75">
      <c r="A40" s="120"/>
      <c r="B40" s="110" t="s">
        <v>167</v>
      </c>
      <c r="C40" s="193">
        <v>11</v>
      </c>
      <c r="D40" s="193">
        <v>4930</v>
      </c>
      <c r="E40" s="193">
        <v>2950</v>
      </c>
      <c r="F40" s="193">
        <v>5010</v>
      </c>
      <c r="G40" s="110" t="s">
        <v>167</v>
      </c>
      <c r="H40" s="721">
        <f t="shared" si="1"/>
        <v>7891</v>
      </c>
      <c r="I40" s="721">
        <f t="shared" si="0"/>
        <v>12901</v>
      </c>
    </row>
    <row r="41" spans="1:9" ht="12.75">
      <c r="A41" s="120"/>
      <c r="B41" s="630" t="s">
        <v>168</v>
      </c>
      <c r="C41" s="632">
        <v>381</v>
      </c>
      <c r="D41" s="632">
        <v>10496</v>
      </c>
      <c r="E41" s="632">
        <v>44281</v>
      </c>
      <c r="F41" s="632">
        <v>38732</v>
      </c>
      <c r="G41" s="630" t="s">
        <v>168</v>
      </c>
      <c r="H41" s="721">
        <f t="shared" si="1"/>
        <v>55158</v>
      </c>
      <c r="I41" s="721">
        <f t="shared" si="0"/>
        <v>93890</v>
      </c>
    </row>
    <row r="42" spans="1:9" ht="12.75">
      <c r="A42" s="120"/>
      <c r="B42" s="109" t="s">
        <v>169</v>
      </c>
      <c r="C42" s="193">
        <v>1406</v>
      </c>
      <c r="D42" s="193">
        <v>384</v>
      </c>
      <c r="E42" s="193">
        <v>18040</v>
      </c>
      <c r="F42" s="193">
        <v>51622</v>
      </c>
      <c r="G42" s="109" t="s">
        <v>169</v>
      </c>
      <c r="H42" s="721">
        <f t="shared" si="1"/>
        <v>19830</v>
      </c>
      <c r="I42" s="721">
        <f t="shared" si="0"/>
        <v>71452</v>
      </c>
    </row>
    <row r="43" spans="2:8" ht="12.75">
      <c r="B43" s="1098" t="s">
        <v>271</v>
      </c>
      <c r="C43" s="1098"/>
      <c r="D43" s="1098"/>
      <c r="E43" s="1098"/>
      <c r="F43" s="1098"/>
      <c r="G43" s="1098"/>
      <c r="H43" s="644"/>
    </row>
    <row r="44" spans="2:8" ht="12.75">
      <c r="B44" s="1099" t="s">
        <v>197</v>
      </c>
      <c r="C44" s="1099"/>
      <c r="D44" s="1099"/>
      <c r="E44" s="1099"/>
      <c r="F44" s="1099"/>
      <c r="G44" s="1099"/>
      <c r="H44" s="644"/>
    </row>
    <row r="45" spans="2:8" ht="12.75">
      <c r="B45" s="1100" t="s">
        <v>272</v>
      </c>
      <c r="C45" s="1101"/>
      <c r="D45" s="1101"/>
      <c r="E45" s="1101"/>
      <c r="F45" s="1101"/>
      <c r="G45" s="1101"/>
      <c r="H45" s="644"/>
    </row>
    <row r="46" spans="2:8" ht="12.75">
      <c r="B46" s="1100" t="s">
        <v>273</v>
      </c>
      <c r="C46" s="1101"/>
      <c r="D46" s="1101"/>
      <c r="E46" s="1101"/>
      <c r="F46" s="1101"/>
      <c r="G46" s="1101"/>
      <c r="H46" s="644"/>
    </row>
    <row r="47" spans="2:8" ht="12.75">
      <c r="B47" s="135" t="s">
        <v>274</v>
      </c>
      <c r="H47" s="644"/>
    </row>
    <row r="48" ht="12.75">
      <c r="B48" s="135"/>
    </row>
  </sheetData>
  <sheetProtection/>
  <mergeCells count="12">
    <mergeCell ref="E4:E7"/>
    <mergeCell ref="F4:F7"/>
    <mergeCell ref="B43:G43"/>
    <mergeCell ref="B44:G44"/>
    <mergeCell ref="B45:G45"/>
    <mergeCell ref="B46:G46"/>
    <mergeCell ref="B1:C1"/>
    <mergeCell ref="F1:G1"/>
    <mergeCell ref="B2:G2"/>
    <mergeCell ref="C3:F3"/>
    <mergeCell ref="C4:C7"/>
    <mergeCell ref="D4:D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AC45"/>
  <sheetViews>
    <sheetView zoomScalePageLayoutView="0" workbookViewId="0" topLeftCell="A1">
      <selection activeCell="E35" sqref="E9:E35"/>
    </sheetView>
  </sheetViews>
  <sheetFormatPr defaultColWidth="9.140625" defaultRowHeight="12.75"/>
  <cols>
    <col min="1" max="1" width="2.7109375" style="101" customWidth="1"/>
    <col min="2" max="2" width="4.00390625" style="101" customWidth="1"/>
    <col min="3" max="4" width="6.7109375" style="101" hidden="1" customWidth="1"/>
    <col min="5" max="6" width="6.8515625" style="101" customWidth="1"/>
    <col min="7" max="7" width="11.7109375" style="101" hidden="1" customWidth="1"/>
    <col min="8" max="8" width="8.140625" style="101" hidden="1" customWidth="1"/>
    <col min="9" max="10" width="6.7109375" style="101" hidden="1" customWidth="1"/>
    <col min="11" max="11" width="6.8515625" style="101" customWidth="1"/>
    <col min="12" max="15" width="6.8515625" style="101" hidden="1" customWidth="1"/>
    <col min="16" max="16" width="6.8515625" style="101" customWidth="1"/>
    <col min="17" max="19" width="6.8515625" style="101" hidden="1" customWidth="1"/>
    <col min="20" max="22" width="6.7109375" style="101" customWidth="1"/>
    <col min="23" max="23" width="8.57421875" style="101" hidden="1" customWidth="1"/>
    <col min="24" max="24" width="7.00390625" style="101" hidden="1" customWidth="1"/>
    <col min="25" max="26" width="9.8515625" style="101" hidden="1" customWidth="1"/>
    <col min="27" max="27" width="9.8515625" style="101" customWidth="1"/>
    <col min="28" max="28" width="7.00390625" style="101" customWidth="1"/>
    <col min="29" max="29" width="4.00390625" style="101" customWidth="1"/>
    <col min="30" max="30" width="9.140625" style="101" customWidth="1"/>
  </cols>
  <sheetData>
    <row r="1" spans="2:29" ht="15.75">
      <c r="B1" s="1096"/>
      <c r="C1" s="1096"/>
      <c r="D1" s="558"/>
      <c r="E1" s="100"/>
      <c r="F1" s="100"/>
      <c r="G1" s="100"/>
      <c r="H1" s="100"/>
      <c r="I1" s="100"/>
      <c r="J1" s="100"/>
      <c r="K1" s="100"/>
      <c r="L1" s="100"/>
      <c r="Y1" s="102" t="s">
        <v>136</v>
      </c>
      <c r="Z1" s="102"/>
      <c r="AA1" s="102"/>
      <c r="AB1" s="102"/>
      <c r="AC1" s="102"/>
    </row>
    <row r="2" spans="2:29" ht="15.75">
      <c r="B2" s="1083" t="s">
        <v>275</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267"/>
      <c r="AA2" s="267"/>
      <c r="AB2" s="267"/>
      <c r="AC2" s="267"/>
    </row>
    <row r="3" spans="2:29" ht="12.75">
      <c r="B3" s="142"/>
      <c r="C3" s="142"/>
      <c r="E3" s="560"/>
      <c r="F3" s="560"/>
      <c r="H3" s="653"/>
      <c r="I3" s="653"/>
      <c r="J3" s="653"/>
      <c r="K3" s="653"/>
      <c r="L3" s="653"/>
      <c r="M3" s="653"/>
      <c r="N3" s="653"/>
      <c r="O3" s="653"/>
      <c r="P3" s="653"/>
      <c r="Q3" s="653"/>
      <c r="R3" s="653"/>
      <c r="S3" s="653"/>
      <c r="T3" s="653"/>
      <c r="U3" s="653"/>
      <c r="V3" s="653"/>
      <c r="X3" s="562"/>
      <c r="Y3" s="214"/>
      <c r="Z3" s="214"/>
      <c r="AA3" s="214"/>
      <c r="AB3" s="214"/>
      <c r="AC3" s="214"/>
    </row>
    <row r="4" spans="2:29" ht="22.5">
      <c r="B4" s="103"/>
      <c r="C4" s="105">
        <v>1970</v>
      </c>
      <c r="D4" s="106">
        <v>1980</v>
      </c>
      <c r="E4" s="106">
        <v>1990</v>
      </c>
      <c r="F4" s="106">
        <v>1995</v>
      </c>
      <c r="G4" s="106">
        <v>1996</v>
      </c>
      <c r="H4" s="106">
        <v>1997</v>
      </c>
      <c r="I4" s="106">
        <v>1998</v>
      </c>
      <c r="J4" s="106">
        <v>1999</v>
      </c>
      <c r="K4" s="106">
        <v>2000</v>
      </c>
      <c r="L4" s="106">
        <v>2001</v>
      </c>
      <c r="M4" s="106">
        <v>2002</v>
      </c>
      <c r="N4" s="106">
        <v>2003</v>
      </c>
      <c r="O4" s="106">
        <v>2004</v>
      </c>
      <c r="P4" s="106">
        <v>2005</v>
      </c>
      <c r="Q4" s="106">
        <v>2006</v>
      </c>
      <c r="R4" s="106">
        <v>2007</v>
      </c>
      <c r="S4" s="106">
        <v>2008</v>
      </c>
      <c r="T4" s="106">
        <v>2009</v>
      </c>
      <c r="U4" s="106">
        <v>2010</v>
      </c>
      <c r="V4" s="654">
        <v>2011</v>
      </c>
      <c r="W4" s="655"/>
      <c r="X4" s="656"/>
      <c r="Y4" s="656"/>
      <c r="Z4" s="656"/>
      <c r="AA4" s="656" t="s">
        <v>276</v>
      </c>
      <c r="AB4" s="657"/>
      <c r="AC4" s="214"/>
    </row>
    <row r="5" spans="2:29" ht="12.75">
      <c r="B5" s="143"/>
      <c r="C5" s="144"/>
      <c r="D5" s="146"/>
      <c r="E5" s="146"/>
      <c r="F5" s="146"/>
      <c r="G5" s="146"/>
      <c r="H5" s="146"/>
      <c r="I5" s="146"/>
      <c r="J5" s="146"/>
      <c r="K5" s="146"/>
      <c r="L5" s="146"/>
      <c r="M5" s="146"/>
      <c r="N5" s="146"/>
      <c r="O5" s="146"/>
      <c r="P5" s="146"/>
      <c r="Q5" s="146"/>
      <c r="R5" s="146"/>
      <c r="S5" s="146"/>
      <c r="T5" s="146"/>
      <c r="U5" s="146"/>
      <c r="V5" s="658"/>
      <c r="W5" s="659">
        <v>2007</v>
      </c>
      <c r="X5" s="660">
        <v>2008</v>
      </c>
      <c r="Y5" s="660">
        <v>2009</v>
      </c>
      <c r="Z5" s="660">
        <v>2010</v>
      </c>
      <c r="AA5" s="660">
        <v>2011</v>
      </c>
      <c r="AB5" s="661" t="s">
        <v>160</v>
      </c>
      <c r="AC5" s="346"/>
    </row>
    <row r="6" spans="2:29" ht="12.75">
      <c r="B6" s="148" t="s">
        <v>161</v>
      </c>
      <c r="C6" s="662">
        <f>13308+SUM(C9:C35)</f>
        <v>245858</v>
      </c>
      <c r="D6" s="663">
        <f>13131+SUM(D9:D35)</f>
        <v>238192</v>
      </c>
      <c r="E6" s="663">
        <f>13111+SUM(E9:E35)</f>
        <v>235242</v>
      </c>
      <c r="F6" s="663">
        <f>SUM(F9:F35)</f>
        <v>227139</v>
      </c>
      <c r="G6" s="663">
        <f aca="true" t="shared" si="0" ref="G6:Y6">SUM(G9:G35)</f>
        <v>217901</v>
      </c>
      <c r="H6" s="663">
        <f t="shared" si="0"/>
        <v>215511</v>
      </c>
      <c r="I6" s="663">
        <f t="shared" si="0"/>
        <v>214232</v>
      </c>
      <c r="J6" s="663">
        <f t="shared" si="0"/>
        <v>210586</v>
      </c>
      <c r="K6" s="663">
        <f t="shared" si="0"/>
        <v>217857</v>
      </c>
      <c r="L6" s="663">
        <f t="shared" si="0"/>
        <v>214776</v>
      </c>
      <c r="M6" s="663">
        <f t="shared" si="0"/>
        <v>215166</v>
      </c>
      <c r="N6" s="663">
        <f t="shared" si="0"/>
        <v>216298</v>
      </c>
      <c r="O6" s="663">
        <f t="shared" si="0"/>
        <v>213499</v>
      </c>
      <c r="P6" s="151">
        <f t="shared" si="0"/>
        <v>212384</v>
      </c>
      <c r="Q6" s="151">
        <f t="shared" si="0"/>
        <v>212656</v>
      </c>
      <c r="R6" s="151">
        <f t="shared" si="0"/>
        <v>212994</v>
      </c>
      <c r="S6" s="151">
        <f t="shared" si="0"/>
        <v>213361</v>
      </c>
      <c r="T6" s="151">
        <f t="shared" si="0"/>
        <v>212693</v>
      </c>
      <c r="U6" s="151">
        <f>SUM(U9:U35)</f>
        <v>212789</v>
      </c>
      <c r="V6" s="664">
        <f>SUM(V9:V35)</f>
        <v>213574.48666666666</v>
      </c>
      <c r="W6" s="662">
        <f t="shared" si="0"/>
        <v>109917</v>
      </c>
      <c r="X6" s="663">
        <f t="shared" si="0"/>
        <v>110793</v>
      </c>
      <c r="Y6" s="663">
        <f t="shared" si="0"/>
        <v>111213</v>
      </c>
      <c r="Z6" s="663">
        <f>SUM(Z9:Z35)</f>
        <v>111996</v>
      </c>
      <c r="AA6" s="665">
        <f>SUM(AA9:AA35)</f>
        <v>113530.97</v>
      </c>
      <c r="AB6" s="226">
        <f aca="true" t="shared" si="1" ref="AB6:AB31">AA6/V6*100</f>
        <v>53.157552557853904</v>
      </c>
      <c r="AC6" s="148" t="s">
        <v>161</v>
      </c>
    </row>
    <row r="7" spans="2:29" ht="12.75">
      <c r="B7" s="154" t="s">
        <v>162</v>
      </c>
      <c r="C7" s="666">
        <f>SUM(C9,C12:C13,C15:C19,C23,C26:C27,C29,C33:C35)</f>
        <v>175274</v>
      </c>
      <c r="D7" s="667">
        <f aca="true" t="shared" si="2" ref="D7:AA7">SUM(D9,D12:D13,D15:D19,D23,D26:D27,D29,D33:D35)</f>
        <v>168150</v>
      </c>
      <c r="E7" s="667">
        <f t="shared" si="2"/>
        <v>162132</v>
      </c>
      <c r="F7" s="667">
        <f t="shared" si="2"/>
        <v>160037</v>
      </c>
      <c r="G7" s="667">
        <f t="shared" si="2"/>
        <v>159068</v>
      </c>
      <c r="H7" s="667">
        <f t="shared" si="2"/>
        <v>156830</v>
      </c>
      <c r="I7" s="667">
        <f t="shared" si="2"/>
        <v>156249</v>
      </c>
      <c r="J7" s="667">
        <f t="shared" si="2"/>
        <v>153028</v>
      </c>
      <c r="K7" s="667">
        <f t="shared" si="2"/>
        <v>152446</v>
      </c>
      <c r="L7" s="667">
        <f t="shared" si="2"/>
        <v>152189</v>
      </c>
      <c r="M7" s="667">
        <f t="shared" si="2"/>
        <v>152180</v>
      </c>
      <c r="N7" s="667">
        <f t="shared" si="2"/>
        <v>152791</v>
      </c>
      <c r="O7" s="667">
        <f t="shared" si="2"/>
        <v>150463</v>
      </c>
      <c r="P7" s="155">
        <f t="shared" si="2"/>
        <v>150316</v>
      </c>
      <c r="Q7" s="155">
        <f t="shared" si="2"/>
        <v>150849</v>
      </c>
      <c r="R7" s="155">
        <f t="shared" si="2"/>
        <v>151421</v>
      </c>
      <c r="S7" s="155">
        <f t="shared" si="2"/>
        <v>151637</v>
      </c>
      <c r="T7" s="155">
        <f t="shared" si="2"/>
        <v>151213</v>
      </c>
      <c r="U7" s="155">
        <f t="shared" si="2"/>
        <v>151551</v>
      </c>
      <c r="V7" s="668">
        <f t="shared" si="2"/>
        <v>152492.48666666666</v>
      </c>
      <c r="W7" s="666">
        <f t="shared" si="2"/>
        <v>82857</v>
      </c>
      <c r="X7" s="667">
        <f t="shared" si="2"/>
        <v>83620</v>
      </c>
      <c r="Y7" s="667">
        <f t="shared" si="2"/>
        <v>83896</v>
      </c>
      <c r="Z7" s="667">
        <f t="shared" si="2"/>
        <v>84577</v>
      </c>
      <c r="AA7" s="669">
        <f t="shared" si="2"/>
        <v>86026.97</v>
      </c>
      <c r="AB7" s="229">
        <f t="shared" si="1"/>
        <v>56.413907255671134</v>
      </c>
      <c r="AC7" s="154" t="s">
        <v>162</v>
      </c>
    </row>
    <row r="8" spans="2:29" ht="12.75">
      <c r="B8" s="156" t="s">
        <v>163</v>
      </c>
      <c r="C8" s="670">
        <f>13308+SUM(C10,C11,C14,C20,C21,C22,C24,C25,C28,C30,C31,C32)</f>
        <v>70584</v>
      </c>
      <c r="D8" s="671">
        <f>13131+SUM(D10,D11,D14,D20,D21,D22,D24,D25,D28,D30,D31,D32)</f>
        <v>70042</v>
      </c>
      <c r="E8" s="671">
        <f>13111+SUM(E10,E11,E14,E20,E21,E22,E24,E25,E28,E30,E31,E32)</f>
        <v>73110</v>
      </c>
      <c r="F8" s="671">
        <f aca="true" t="shared" si="3" ref="F8:Y8">SUM(F10,F11,F14,F20,F21,F22,F24,F25,F28,F30,F31,F32)</f>
        <v>67102</v>
      </c>
      <c r="G8" s="671">
        <f t="shared" si="3"/>
        <v>58833</v>
      </c>
      <c r="H8" s="671">
        <f t="shared" si="3"/>
        <v>58681</v>
      </c>
      <c r="I8" s="671">
        <f t="shared" si="3"/>
        <v>57983</v>
      </c>
      <c r="J8" s="671">
        <f t="shared" si="3"/>
        <v>57558</v>
      </c>
      <c r="K8" s="671">
        <f t="shared" si="3"/>
        <v>65411</v>
      </c>
      <c r="L8" s="671">
        <f t="shared" si="3"/>
        <v>62587</v>
      </c>
      <c r="M8" s="671">
        <f t="shared" si="3"/>
        <v>62986</v>
      </c>
      <c r="N8" s="671">
        <f t="shared" si="3"/>
        <v>63507</v>
      </c>
      <c r="O8" s="671">
        <f t="shared" si="3"/>
        <v>63036</v>
      </c>
      <c r="P8" s="157">
        <f t="shared" si="3"/>
        <v>62068</v>
      </c>
      <c r="Q8" s="157">
        <f t="shared" si="3"/>
        <v>61807</v>
      </c>
      <c r="R8" s="157">
        <f t="shared" si="3"/>
        <v>61573</v>
      </c>
      <c r="S8" s="157">
        <f t="shared" si="3"/>
        <v>61724</v>
      </c>
      <c r="T8" s="157">
        <f t="shared" si="3"/>
        <v>61480</v>
      </c>
      <c r="U8" s="157">
        <f>SUM(U10,U11,U14,U20,U21,U22,U24,U25,U28,U30,U31,U32)</f>
        <v>61238</v>
      </c>
      <c r="V8" s="672">
        <f>SUM(V10,V11,V14,V20,V21,V22,V24,V25,V28,V30,V31,V32)</f>
        <v>61082</v>
      </c>
      <c r="W8" s="670">
        <f t="shared" si="3"/>
        <v>27060</v>
      </c>
      <c r="X8" s="671">
        <f t="shared" si="3"/>
        <v>27173</v>
      </c>
      <c r="Y8" s="671">
        <f t="shared" si="3"/>
        <v>27317</v>
      </c>
      <c r="Z8" s="671">
        <f>SUM(Z10,Z11,Z14,Z20,Z21,Z22,Z24,Z25,Z28,Z30,Z31,Z32)</f>
        <v>27419</v>
      </c>
      <c r="AA8" s="671">
        <f>SUM(AA10,AA11,AA14,AA20,AA21,AA22,AA24,AA25,AA28,AA30,AA31,AA32)</f>
        <v>27504</v>
      </c>
      <c r="AB8" s="232">
        <f t="shared" si="1"/>
        <v>45.027995154055205</v>
      </c>
      <c r="AC8" s="156" t="s">
        <v>163</v>
      </c>
    </row>
    <row r="9" spans="1:29" ht="12.75">
      <c r="A9" s="120"/>
      <c r="B9" s="110" t="s">
        <v>61</v>
      </c>
      <c r="C9" s="673">
        <v>4605</v>
      </c>
      <c r="D9" s="674">
        <v>3971</v>
      </c>
      <c r="E9" s="674">
        <v>3479</v>
      </c>
      <c r="F9" s="674">
        <v>3368</v>
      </c>
      <c r="G9" s="674">
        <v>3380</v>
      </c>
      <c r="H9" s="674">
        <v>3422</v>
      </c>
      <c r="I9" s="674">
        <v>3470</v>
      </c>
      <c r="J9" s="674">
        <v>3472</v>
      </c>
      <c r="K9" s="674">
        <v>3471</v>
      </c>
      <c r="L9" s="674">
        <v>3454</v>
      </c>
      <c r="M9" s="674">
        <v>3518</v>
      </c>
      <c r="N9" s="674">
        <v>3521</v>
      </c>
      <c r="O9" s="674">
        <v>3536</v>
      </c>
      <c r="P9" s="108">
        <v>3544</v>
      </c>
      <c r="Q9" s="166">
        <v>3500</v>
      </c>
      <c r="R9" s="166">
        <v>3374</v>
      </c>
      <c r="S9" s="166">
        <v>3513</v>
      </c>
      <c r="T9" s="166">
        <v>3578</v>
      </c>
      <c r="U9" s="166">
        <v>3582</v>
      </c>
      <c r="V9" s="675">
        <v>3557.6666666666665</v>
      </c>
      <c r="W9" s="676">
        <v>3002</v>
      </c>
      <c r="X9" s="677">
        <v>2955</v>
      </c>
      <c r="Y9" s="677">
        <v>3005</v>
      </c>
      <c r="Z9" s="677">
        <v>3064</v>
      </c>
      <c r="AA9" s="678">
        <v>3008</v>
      </c>
      <c r="AB9" s="679">
        <f t="shared" si="1"/>
        <v>84.54979855710673</v>
      </c>
      <c r="AC9" s="110" t="s">
        <v>61</v>
      </c>
    </row>
    <row r="10" spans="1:29" ht="12.75">
      <c r="A10" s="120"/>
      <c r="B10" s="154" t="s">
        <v>102</v>
      </c>
      <c r="C10" s="680">
        <v>4196</v>
      </c>
      <c r="D10" s="681">
        <v>4341</v>
      </c>
      <c r="E10" s="681">
        <v>4299</v>
      </c>
      <c r="F10" s="681">
        <v>4294</v>
      </c>
      <c r="G10" s="681">
        <v>4293</v>
      </c>
      <c r="H10" s="681">
        <v>4292</v>
      </c>
      <c r="I10" s="681">
        <v>4090</v>
      </c>
      <c r="J10" s="681">
        <v>4090</v>
      </c>
      <c r="K10" s="681">
        <v>4320</v>
      </c>
      <c r="L10" s="681">
        <v>4320</v>
      </c>
      <c r="M10" s="681">
        <v>4318</v>
      </c>
      <c r="N10" s="173">
        <v>4316</v>
      </c>
      <c r="O10" s="173">
        <v>4259</v>
      </c>
      <c r="P10" s="173">
        <v>4154</v>
      </c>
      <c r="Q10" s="174">
        <v>4146</v>
      </c>
      <c r="R10" s="174">
        <v>4143</v>
      </c>
      <c r="S10" s="174">
        <v>4144</v>
      </c>
      <c r="T10" s="174">
        <v>4150</v>
      </c>
      <c r="U10" s="174">
        <v>4097</v>
      </c>
      <c r="V10" s="634">
        <v>3947</v>
      </c>
      <c r="W10" s="680">
        <v>2806</v>
      </c>
      <c r="X10" s="681">
        <v>2827</v>
      </c>
      <c r="Y10" s="681">
        <v>2833</v>
      </c>
      <c r="Z10" s="681">
        <v>2785</v>
      </c>
      <c r="AA10" s="681">
        <v>2862</v>
      </c>
      <c r="AB10" s="235">
        <f t="shared" si="1"/>
        <v>72.51076767164936</v>
      </c>
      <c r="AC10" s="154" t="s">
        <v>102</v>
      </c>
    </row>
    <row r="11" spans="1:29" ht="12.75">
      <c r="A11" s="120"/>
      <c r="B11" s="107" t="s">
        <v>62</v>
      </c>
      <c r="C11" s="682"/>
      <c r="D11" s="683"/>
      <c r="E11" s="683"/>
      <c r="F11" s="683">
        <v>9430</v>
      </c>
      <c r="G11" s="683">
        <v>9430</v>
      </c>
      <c r="H11" s="683">
        <v>9430</v>
      </c>
      <c r="I11" s="683">
        <v>9430</v>
      </c>
      <c r="J11" s="683">
        <v>9444</v>
      </c>
      <c r="K11" s="683">
        <v>9444</v>
      </c>
      <c r="L11" s="683">
        <v>9523</v>
      </c>
      <c r="M11" s="683">
        <v>9600</v>
      </c>
      <c r="N11" s="683">
        <v>9602</v>
      </c>
      <c r="O11" s="683">
        <v>9612</v>
      </c>
      <c r="P11" s="108">
        <v>9614</v>
      </c>
      <c r="Q11" s="166">
        <v>9597</v>
      </c>
      <c r="R11" s="166">
        <v>9588</v>
      </c>
      <c r="S11" s="166">
        <v>9486</v>
      </c>
      <c r="T11" s="166">
        <v>9477</v>
      </c>
      <c r="U11" s="684">
        <v>9468</v>
      </c>
      <c r="V11" s="685">
        <v>9470</v>
      </c>
      <c r="W11" s="676">
        <v>3060</v>
      </c>
      <c r="X11" s="677">
        <v>3078</v>
      </c>
      <c r="Y11" s="677">
        <v>3152</v>
      </c>
      <c r="Z11" s="677">
        <v>3210</v>
      </c>
      <c r="AA11" s="677">
        <v>3208</v>
      </c>
      <c r="AB11" s="686">
        <f t="shared" si="1"/>
        <v>33.8753959873284</v>
      </c>
      <c r="AC11" s="107" t="s">
        <v>62</v>
      </c>
    </row>
    <row r="12" spans="1:29" ht="12.75">
      <c r="A12" s="120"/>
      <c r="B12" s="154" t="s">
        <v>14</v>
      </c>
      <c r="C12" s="680">
        <v>2352</v>
      </c>
      <c r="D12" s="681">
        <v>2015</v>
      </c>
      <c r="E12" s="681">
        <v>2838</v>
      </c>
      <c r="F12" s="681">
        <v>2863</v>
      </c>
      <c r="G12" s="681">
        <v>2863</v>
      </c>
      <c r="H12" s="681">
        <v>2762</v>
      </c>
      <c r="I12" s="681">
        <v>2779</v>
      </c>
      <c r="J12" s="681">
        <v>2775</v>
      </c>
      <c r="K12" s="681">
        <v>2787</v>
      </c>
      <c r="L12" s="681">
        <v>2787</v>
      </c>
      <c r="M12" s="681">
        <v>2787</v>
      </c>
      <c r="N12" s="681">
        <v>2787</v>
      </c>
      <c r="O12" s="681">
        <v>2646</v>
      </c>
      <c r="P12" s="173">
        <v>2646</v>
      </c>
      <c r="Q12" s="173">
        <v>2646</v>
      </c>
      <c r="R12" s="173">
        <v>2646</v>
      </c>
      <c r="S12" s="173">
        <v>2646</v>
      </c>
      <c r="T12" s="173">
        <v>2646</v>
      </c>
      <c r="U12" s="173">
        <f>2667-21</f>
        <v>2646</v>
      </c>
      <c r="V12" s="687">
        <v>2629</v>
      </c>
      <c r="W12" s="680">
        <v>619</v>
      </c>
      <c r="X12" s="681">
        <v>621</v>
      </c>
      <c r="Y12" s="681">
        <v>621</v>
      </c>
      <c r="Z12" s="681">
        <f>642-21</f>
        <v>621</v>
      </c>
      <c r="AA12" s="681">
        <v>621</v>
      </c>
      <c r="AB12" s="235">
        <f t="shared" si="1"/>
        <v>23.621148725751237</v>
      </c>
      <c r="AC12" s="154" t="s">
        <v>14</v>
      </c>
    </row>
    <row r="13" spans="1:29" ht="12.75">
      <c r="A13" s="120"/>
      <c r="B13" s="107" t="s">
        <v>64</v>
      </c>
      <c r="C13" s="682">
        <v>43777</v>
      </c>
      <c r="D13" s="683">
        <v>42765</v>
      </c>
      <c r="E13" s="683">
        <v>40981</v>
      </c>
      <c r="F13" s="683">
        <v>41718</v>
      </c>
      <c r="G13" s="683">
        <v>40826</v>
      </c>
      <c r="H13" s="683">
        <v>38450</v>
      </c>
      <c r="I13" s="683">
        <v>38126</v>
      </c>
      <c r="J13" s="683">
        <v>37525</v>
      </c>
      <c r="K13" s="683">
        <v>36588</v>
      </c>
      <c r="L13" s="683">
        <v>35986</v>
      </c>
      <c r="M13" s="683">
        <v>35814</v>
      </c>
      <c r="N13" s="683">
        <v>36054</v>
      </c>
      <c r="O13" s="683">
        <v>34732</v>
      </c>
      <c r="P13" s="108">
        <v>34221</v>
      </c>
      <c r="Q13" s="166">
        <v>34122</v>
      </c>
      <c r="R13" s="166">
        <v>33890</v>
      </c>
      <c r="S13" s="166">
        <v>33855</v>
      </c>
      <c r="T13" s="166">
        <v>33714</v>
      </c>
      <c r="U13" s="166">
        <v>33707</v>
      </c>
      <c r="V13" s="688">
        <v>33576</v>
      </c>
      <c r="W13" s="676">
        <v>19544</v>
      </c>
      <c r="X13" s="677">
        <v>19645</v>
      </c>
      <c r="Y13" s="677">
        <v>19701</v>
      </c>
      <c r="Z13" s="677">
        <v>19819</v>
      </c>
      <c r="AA13" s="677">
        <v>19826</v>
      </c>
      <c r="AB13" s="686">
        <f t="shared" si="1"/>
        <v>59.048129616392664</v>
      </c>
      <c r="AC13" s="107" t="s">
        <v>64</v>
      </c>
    </row>
    <row r="14" spans="1:29" ht="12.75">
      <c r="A14" s="120"/>
      <c r="B14" s="154" t="s">
        <v>65</v>
      </c>
      <c r="C14" s="680">
        <v>1227</v>
      </c>
      <c r="D14" s="681">
        <v>993</v>
      </c>
      <c r="E14" s="681">
        <v>1026</v>
      </c>
      <c r="F14" s="681">
        <v>1021</v>
      </c>
      <c r="G14" s="681">
        <v>1021</v>
      </c>
      <c r="H14" s="681">
        <v>966</v>
      </c>
      <c r="I14" s="681">
        <v>966</v>
      </c>
      <c r="J14" s="681">
        <v>968</v>
      </c>
      <c r="K14" s="681">
        <v>968</v>
      </c>
      <c r="L14" s="681">
        <v>967</v>
      </c>
      <c r="M14" s="681">
        <v>963</v>
      </c>
      <c r="N14" s="681">
        <v>967</v>
      </c>
      <c r="O14" s="681">
        <v>971</v>
      </c>
      <c r="P14" s="173">
        <v>968</v>
      </c>
      <c r="Q14" s="178">
        <v>968</v>
      </c>
      <c r="R14" s="178">
        <v>816</v>
      </c>
      <c r="S14" s="178">
        <v>919</v>
      </c>
      <c r="T14" s="178">
        <v>919</v>
      </c>
      <c r="U14" s="178">
        <v>787</v>
      </c>
      <c r="V14" s="627">
        <v>792</v>
      </c>
      <c r="W14" s="680">
        <v>131</v>
      </c>
      <c r="X14" s="681">
        <v>131</v>
      </c>
      <c r="Y14" s="681">
        <v>132</v>
      </c>
      <c r="Z14" s="681">
        <v>132</v>
      </c>
      <c r="AA14" s="681">
        <v>132</v>
      </c>
      <c r="AB14" s="689">
        <f t="shared" si="1"/>
        <v>16.666666666666664</v>
      </c>
      <c r="AC14" s="154" t="s">
        <v>65</v>
      </c>
    </row>
    <row r="15" spans="1:29" ht="12.75">
      <c r="A15" s="120"/>
      <c r="B15" s="107" t="s">
        <v>69</v>
      </c>
      <c r="C15" s="682">
        <v>2189</v>
      </c>
      <c r="D15" s="683">
        <v>1987</v>
      </c>
      <c r="E15" s="683">
        <v>1944</v>
      </c>
      <c r="F15" s="683">
        <v>1954</v>
      </c>
      <c r="G15" s="683">
        <v>1954</v>
      </c>
      <c r="H15" s="683">
        <v>1945</v>
      </c>
      <c r="I15" s="683">
        <v>1909</v>
      </c>
      <c r="J15" s="683">
        <v>1909</v>
      </c>
      <c r="K15" s="683">
        <v>1919</v>
      </c>
      <c r="L15" s="683">
        <v>1919</v>
      </c>
      <c r="M15" s="683">
        <v>1919</v>
      </c>
      <c r="N15" s="683">
        <v>1919</v>
      </c>
      <c r="O15" s="683">
        <v>1919</v>
      </c>
      <c r="P15" s="108">
        <v>1919</v>
      </c>
      <c r="Q15" s="166">
        <v>1919</v>
      </c>
      <c r="R15" s="166">
        <v>1919</v>
      </c>
      <c r="S15" s="166">
        <v>1919</v>
      </c>
      <c r="T15" s="166">
        <v>1919</v>
      </c>
      <c r="U15" s="166">
        <v>1919</v>
      </c>
      <c r="V15" s="688">
        <v>1919</v>
      </c>
      <c r="W15" s="676">
        <v>52</v>
      </c>
      <c r="X15" s="677">
        <v>52</v>
      </c>
      <c r="Y15" s="677">
        <v>52</v>
      </c>
      <c r="Z15" s="677">
        <v>52</v>
      </c>
      <c r="AA15" s="677">
        <v>52</v>
      </c>
      <c r="AB15" s="686">
        <f t="shared" si="1"/>
        <v>2.709744658676394</v>
      </c>
      <c r="AC15" s="107" t="s">
        <v>69</v>
      </c>
    </row>
    <row r="16" spans="1:29" ht="12.75">
      <c r="A16" s="120"/>
      <c r="B16" s="154" t="s">
        <v>15</v>
      </c>
      <c r="C16" s="680">
        <v>2602</v>
      </c>
      <c r="D16" s="681">
        <v>2461</v>
      </c>
      <c r="E16" s="681">
        <v>2484</v>
      </c>
      <c r="F16" s="681">
        <v>2474</v>
      </c>
      <c r="G16" s="681">
        <v>2474</v>
      </c>
      <c r="H16" s="681">
        <v>2503</v>
      </c>
      <c r="I16" s="681">
        <v>2299</v>
      </c>
      <c r="J16" s="681">
        <v>2299</v>
      </c>
      <c r="K16" s="681">
        <v>2385</v>
      </c>
      <c r="L16" s="681">
        <v>2377</v>
      </c>
      <c r="M16" s="681">
        <v>2383</v>
      </c>
      <c r="N16" s="681">
        <v>2414</v>
      </c>
      <c r="O16" s="681">
        <v>2449</v>
      </c>
      <c r="P16" s="173">
        <v>2576</v>
      </c>
      <c r="Q16" s="178">
        <v>2509</v>
      </c>
      <c r="R16" s="178">
        <v>2551</v>
      </c>
      <c r="S16" s="178">
        <v>2552</v>
      </c>
      <c r="T16" s="178">
        <v>2552</v>
      </c>
      <c r="U16" s="178">
        <v>2552</v>
      </c>
      <c r="V16" s="627">
        <v>2554</v>
      </c>
      <c r="W16" s="680">
        <v>199</v>
      </c>
      <c r="X16" s="681">
        <v>264</v>
      </c>
      <c r="Y16" s="681">
        <v>264</v>
      </c>
      <c r="Z16" s="681">
        <v>368</v>
      </c>
      <c r="AA16" s="681">
        <v>438</v>
      </c>
      <c r="AB16" s="689">
        <f t="shared" si="1"/>
        <v>17.149569303054033</v>
      </c>
      <c r="AC16" s="154" t="s">
        <v>15</v>
      </c>
    </row>
    <row r="17" spans="1:29" ht="12.75">
      <c r="A17" s="120"/>
      <c r="B17" s="107" t="s">
        <v>67</v>
      </c>
      <c r="C17" s="682">
        <v>15850</v>
      </c>
      <c r="D17" s="683">
        <v>15724</v>
      </c>
      <c r="E17" s="690">
        <v>14539</v>
      </c>
      <c r="F17" s="683">
        <f>6717+7591</f>
        <v>14308</v>
      </c>
      <c r="G17" s="683">
        <f>6717+7564</f>
        <v>14281</v>
      </c>
      <c r="H17" s="683">
        <f>6654+7654</f>
        <v>14308</v>
      </c>
      <c r="I17" s="683">
        <f>6575+7714</f>
        <v>14289</v>
      </c>
      <c r="J17" s="683">
        <f>6571+7790</f>
        <v>14361</v>
      </c>
      <c r="K17" s="683">
        <f>6559+7788</f>
        <v>14347</v>
      </c>
      <c r="L17" s="683">
        <f>6559+7788</f>
        <v>14347</v>
      </c>
      <c r="M17" s="683">
        <f>6499+7927</f>
        <v>14426</v>
      </c>
      <c r="N17" s="683">
        <f>6432+8477</f>
        <v>14909</v>
      </c>
      <c r="O17" s="683">
        <f>6447+8338</f>
        <v>14785</v>
      </c>
      <c r="P17" s="108">
        <f>6537+8478</f>
        <v>15015</v>
      </c>
      <c r="Q17" s="166">
        <f>6486+8726</f>
        <v>15212</v>
      </c>
      <c r="R17" s="166">
        <f>6455+9099</f>
        <v>15554</v>
      </c>
      <c r="S17" s="166">
        <f>6434+9116</f>
        <v>15550</v>
      </c>
      <c r="T17" s="166">
        <f>6394+8936</f>
        <v>15330</v>
      </c>
      <c r="U17" s="166">
        <f>6398+9439</f>
        <v>15837</v>
      </c>
      <c r="V17" s="688">
        <v>15932</v>
      </c>
      <c r="W17" s="676">
        <f>9099</f>
        <v>9099</v>
      </c>
      <c r="X17" s="677">
        <v>9116</v>
      </c>
      <c r="Y17" s="677">
        <v>8936</v>
      </c>
      <c r="Z17" s="677">
        <v>9439</v>
      </c>
      <c r="AA17" s="677">
        <v>9615</v>
      </c>
      <c r="AB17" s="686">
        <f t="shared" si="1"/>
        <v>60.35023851368315</v>
      </c>
      <c r="AC17" s="107" t="s">
        <v>67</v>
      </c>
    </row>
    <row r="18" spans="1:29" ht="12.75">
      <c r="A18" s="120"/>
      <c r="B18" s="154" t="s">
        <v>68</v>
      </c>
      <c r="C18" s="680">
        <v>37582</v>
      </c>
      <c r="D18" s="681">
        <v>34362</v>
      </c>
      <c r="E18" s="681">
        <v>34070</v>
      </c>
      <c r="F18" s="681">
        <v>31939</v>
      </c>
      <c r="G18" s="681">
        <v>31852</v>
      </c>
      <c r="H18" s="681">
        <v>31821</v>
      </c>
      <c r="I18" s="681">
        <v>31735</v>
      </c>
      <c r="J18" s="681">
        <v>29113</v>
      </c>
      <c r="K18" s="681">
        <v>29272</v>
      </c>
      <c r="L18" s="681">
        <v>29445</v>
      </c>
      <c r="M18" s="681">
        <v>29352</v>
      </c>
      <c r="N18" s="681">
        <v>29269</v>
      </c>
      <c r="O18" s="681">
        <v>29246</v>
      </c>
      <c r="P18" s="173">
        <v>29286</v>
      </c>
      <c r="Q18" s="178">
        <v>29463</v>
      </c>
      <c r="R18" s="178">
        <v>29918</v>
      </c>
      <c r="S18" s="178">
        <v>29901</v>
      </c>
      <c r="T18" s="178">
        <v>29903</v>
      </c>
      <c r="U18" s="178">
        <v>29871</v>
      </c>
      <c r="V18" s="627">
        <v>30884</v>
      </c>
      <c r="W18" s="680">
        <v>15133</v>
      </c>
      <c r="X18" s="681">
        <v>15401</v>
      </c>
      <c r="Y18" s="681">
        <v>15463</v>
      </c>
      <c r="Z18" s="681">
        <v>15635</v>
      </c>
      <c r="AA18" s="681">
        <v>16321</v>
      </c>
      <c r="AB18" s="689">
        <f t="shared" si="1"/>
        <v>52.846133920476625</v>
      </c>
      <c r="AC18" s="154" t="s">
        <v>68</v>
      </c>
    </row>
    <row r="19" spans="1:29" ht="12.75">
      <c r="A19" s="120"/>
      <c r="B19" s="107" t="s">
        <v>70</v>
      </c>
      <c r="C19" s="682">
        <v>16073</v>
      </c>
      <c r="D19" s="683">
        <v>16138</v>
      </c>
      <c r="E19" s="683">
        <v>16066</v>
      </c>
      <c r="F19" s="683">
        <v>16003</v>
      </c>
      <c r="G19" s="683">
        <v>16014</v>
      </c>
      <c r="H19" s="683">
        <v>16030</v>
      </c>
      <c r="I19" s="683">
        <v>16080</v>
      </c>
      <c r="J19" s="683">
        <v>16092</v>
      </c>
      <c r="K19" s="683">
        <v>16187</v>
      </c>
      <c r="L19" s="683">
        <v>16357</v>
      </c>
      <c r="M19" s="683">
        <v>16307</v>
      </c>
      <c r="N19" s="683">
        <v>16287</v>
      </c>
      <c r="O19" s="683">
        <v>16236</v>
      </c>
      <c r="P19" s="108">
        <f>320+16225</f>
        <v>16545</v>
      </c>
      <c r="Q19" s="166">
        <f>16295+332</f>
        <v>16627</v>
      </c>
      <c r="R19" s="166">
        <f>16335+332</f>
        <v>16667</v>
      </c>
      <c r="S19" s="166">
        <v>16861</v>
      </c>
      <c r="T19" s="166">
        <f>318+16686</f>
        <v>17004</v>
      </c>
      <c r="U19" s="166">
        <f>318+16704</f>
        <v>17022</v>
      </c>
      <c r="V19" s="688">
        <v>17045</v>
      </c>
      <c r="W19" s="676">
        <f>11531+200</f>
        <v>11731</v>
      </c>
      <c r="X19" s="677">
        <v>11927</v>
      </c>
      <c r="Y19" s="677">
        <f>195+11887</f>
        <v>12082</v>
      </c>
      <c r="Z19" s="677">
        <f>11906+122</f>
        <v>12028</v>
      </c>
      <c r="AA19" s="677">
        <v>12120</v>
      </c>
      <c r="AB19" s="686">
        <f t="shared" si="1"/>
        <v>71.10589615723086</v>
      </c>
      <c r="AC19" s="107" t="s">
        <v>70</v>
      </c>
    </row>
    <row r="20" spans="1:29" ht="12.75">
      <c r="A20" s="120"/>
      <c r="B20" s="154" t="s">
        <v>72</v>
      </c>
      <c r="C20" s="182" t="s">
        <v>158</v>
      </c>
      <c r="D20" s="691" t="s">
        <v>158</v>
      </c>
      <c r="E20" s="691" t="s">
        <v>158</v>
      </c>
      <c r="F20" s="691" t="s">
        <v>158</v>
      </c>
      <c r="G20" s="691" t="s">
        <v>158</v>
      </c>
      <c r="H20" s="691" t="s">
        <v>158</v>
      </c>
      <c r="I20" s="691" t="s">
        <v>158</v>
      </c>
      <c r="J20" s="691" t="s">
        <v>158</v>
      </c>
      <c r="K20" s="691" t="s">
        <v>158</v>
      </c>
      <c r="L20" s="691" t="s">
        <v>158</v>
      </c>
      <c r="M20" s="691" t="s">
        <v>158</v>
      </c>
      <c r="N20" s="691" t="s">
        <v>158</v>
      </c>
      <c r="O20" s="691" t="s">
        <v>158</v>
      </c>
      <c r="P20" s="691" t="s">
        <v>158</v>
      </c>
      <c r="Q20" s="692" t="s">
        <v>158</v>
      </c>
      <c r="R20" s="692" t="s">
        <v>158</v>
      </c>
      <c r="S20" s="692" t="s">
        <v>158</v>
      </c>
      <c r="T20" s="692" t="s">
        <v>158</v>
      </c>
      <c r="U20" s="692" t="s">
        <v>158</v>
      </c>
      <c r="V20" s="693" t="s">
        <v>158</v>
      </c>
      <c r="W20" s="182" t="s">
        <v>158</v>
      </c>
      <c r="X20" s="691" t="s">
        <v>158</v>
      </c>
      <c r="Y20" s="691" t="s">
        <v>158</v>
      </c>
      <c r="Z20" s="691" t="s">
        <v>158</v>
      </c>
      <c r="AA20" s="691" t="s">
        <v>158</v>
      </c>
      <c r="AB20" s="691" t="s">
        <v>158</v>
      </c>
      <c r="AC20" s="154" t="s">
        <v>72</v>
      </c>
    </row>
    <row r="21" spans="1:29" ht="12.75">
      <c r="A21" s="120"/>
      <c r="B21" s="107" t="s">
        <v>73</v>
      </c>
      <c r="C21" s="682">
        <v>2606</v>
      </c>
      <c r="D21" s="683">
        <v>2384</v>
      </c>
      <c r="E21" s="683">
        <v>2397</v>
      </c>
      <c r="F21" s="683">
        <v>2413</v>
      </c>
      <c r="G21" s="683">
        <v>2413</v>
      </c>
      <c r="H21" s="683">
        <v>2413</v>
      </c>
      <c r="I21" s="683">
        <v>2413</v>
      </c>
      <c r="J21" s="683">
        <v>2413</v>
      </c>
      <c r="K21" s="683">
        <v>2331</v>
      </c>
      <c r="L21" s="683">
        <v>2305</v>
      </c>
      <c r="M21" s="683">
        <v>2270</v>
      </c>
      <c r="N21" s="683">
        <v>2270</v>
      </c>
      <c r="O21" s="683">
        <v>2270</v>
      </c>
      <c r="P21" s="108">
        <v>2270</v>
      </c>
      <c r="Q21" s="166">
        <v>2269</v>
      </c>
      <c r="R21" s="166">
        <v>2265</v>
      </c>
      <c r="S21" s="166">
        <v>2263</v>
      </c>
      <c r="T21" s="166">
        <v>1884</v>
      </c>
      <c r="U21" s="166">
        <v>1897</v>
      </c>
      <c r="V21" s="688">
        <v>1865</v>
      </c>
      <c r="W21" s="676">
        <v>257</v>
      </c>
      <c r="X21" s="677">
        <v>257</v>
      </c>
      <c r="Y21" s="677">
        <v>257</v>
      </c>
      <c r="Z21" s="677">
        <v>257</v>
      </c>
      <c r="AA21" s="677">
        <v>257</v>
      </c>
      <c r="AB21" s="686">
        <f t="shared" si="1"/>
        <v>13.780160857908847</v>
      </c>
      <c r="AC21" s="107" t="s">
        <v>73</v>
      </c>
    </row>
    <row r="22" spans="1:29" ht="12.75">
      <c r="A22" s="120"/>
      <c r="B22" s="154" t="s">
        <v>74</v>
      </c>
      <c r="C22" s="680">
        <v>2015</v>
      </c>
      <c r="D22" s="681">
        <v>2008</v>
      </c>
      <c r="E22" s="681">
        <v>2007</v>
      </c>
      <c r="F22" s="681">
        <v>2002</v>
      </c>
      <c r="G22" s="681">
        <v>1997</v>
      </c>
      <c r="H22" s="681">
        <v>1998</v>
      </c>
      <c r="I22" s="681">
        <v>1998</v>
      </c>
      <c r="J22" s="681">
        <v>1905</v>
      </c>
      <c r="K22" s="681">
        <v>1905</v>
      </c>
      <c r="L22" s="681">
        <v>1696</v>
      </c>
      <c r="M22" s="681">
        <v>1775</v>
      </c>
      <c r="N22" s="681">
        <v>1774</v>
      </c>
      <c r="O22" s="681">
        <v>1782</v>
      </c>
      <c r="P22" s="173">
        <f>1771</f>
        <v>1771</v>
      </c>
      <c r="Q22" s="178">
        <v>1771</v>
      </c>
      <c r="R22" s="178">
        <v>1766</v>
      </c>
      <c r="S22" s="178">
        <v>1765</v>
      </c>
      <c r="T22" s="178">
        <v>1767</v>
      </c>
      <c r="U22" s="178">
        <f>1767</f>
        <v>1767</v>
      </c>
      <c r="V22" s="627">
        <v>1767</v>
      </c>
      <c r="W22" s="680">
        <v>122</v>
      </c>
      <c r="X22" s="681">
        <v>122</v>
      </c>
      <c r="Y22" s="681">
        <v>122</v>
      </c>
      <c r="Z22" s="681">
        <v>122</v>
      </c>
      <c r="AA22" s="681">
        <v>122</v>
      </c>
      <c r="AB22" s="689">
        <f t="shared" si="1"/>
        <v>6.90435766836446</v>
      </c>
      <c r="AC22" s="154" t="s">
        <v>74</v>
      </c>
    </row>
    <row r="23" spans="1:29" ht="12.75">
      <c r="A23" s="120"/>
      <c r="B23" s="107" t="s">
        <v>77</v>
      </c>
      <c r="C23" s="682">
        <v>271</v>
      </c>
      <c r="D23" s="683">
        <v>270</v>
      </c>
      <c r="E23" s="683">
        <v>271</v>
      </c>
      <c r="F23" s="683">
        <v>275</v>
      </c>
      <c r="G23" s="683">
        <v>274</v>
      </c>
      <c r="H23" s="683">
        <v>274</v>
      </c>
      <c r="I23" s="683">
        <v>274</v>
      </c>
      <c r="J23" s="683">
        <v>274</v>
      </c>
      <c r="K23" s="683">
        <v>274</v>
      </c>
      <c r="L23" s="683">
        <v>274</v>
      </c>
      <c r="M23" s="683">
        <v>274</v>
      </c>
      <c r="N23" s="683">
        <v>275</v>
      </c>
      <c r="O23" s="683">
        <v>275</v>
      </c>
      <c r="P23" s="108">
        <v>275</v>
      </c>
      <c r="Q23" s="166">
        <v>275</v>
      </c>
      <c r="R23" s="166">
        <v>275</v>
      </c>
      <c r="S23" s="166">
        <v>275</v>
      </c>
      <c r="T23" s="166">
        <v>275</v>
      </c>
      <c r="U23" s="166">
        <v>275</v>
      </c>
      <c r="V23" s="688">
        <v>275</v>
      </c>
      <c r="W23" s="676">
        <v>262</v>
      </c>
      <c r="X23" s="677">
        <v>262</v>
      </c>
      <c r="Y23" s="677">
        <v>262</v>
      </c>
      <c r="Z23" s="677">
        <v>262</v>
      </c>
      <c r="AA23" s="677">
        <v>262</v>
      </c>
      <c r="AB23" s="686">
        <f t="shared" si="1"/>
        <v>95.27272727272728</v>
      </c>
      <c r="AC23" s="107" t="s">
        <v>77</v>
      </c>
    </row>
    <row r="24" spans="1:29" ht="12.75">
      <c r="A24" s="120"/>
      <c r="B24" s="154" t="s">
        <v>78</v>
      </c>
      <c r="C24" s="680">
        <v>8487</v>
      </c>
      <c r="D24" s="681">
        <v>7836</v>
      </c>
      <c r="E24" s="681">
        <v>7838</v>
      </c>
      <c r="F24" s="681">
        <v>7714</v>
      </c>
      <c r="G24" s="173"/>
      <c r="H24" s="173"/>
      <c r="I24" s="173"/>
      <c r="J24" s="173"/>
      <c r="K24" s="681">
        <v>8005</v>
      </c>
      <c r="L24" s="173">
        <v>7736</v>
      </c>
      <c r="M24" s="173">
        <v>7949</v>
      </c>
      <c r="N24" s="173">
        <v>7950</v>
      </c>
      <c r="O24" s="173">
        <v>7950</v>
      </c>
      <c r="P24" s="173">
        <v>7950</v>
      </c>
      <c r="Q24" s="178">
        <f>7676+284</f>
        <v>7960</v>
      </c>
      <c r="R24" s="178">
        <f>7658+284</f>
        <v>7942</v>
      </c>
      <c r="S24" s="178">
        <v>7892</v>
      </c>
      <c r="T24" s="178">
        <f>284+7608</f>
        <v>7892</v>
      </c>
      <c r="U24" s="178">
        <f>7609+284</f>
        <v>7893</v>
      </c>
      <c r="V24" s="627">
        <v>7906</v>
      </c>
      <c r="W24" s="680">
        <f>2573+220</f>
        <v>2793</v>
      </c>
      <c r="X24" s="681">
        <v>2848</v>
      </c>
      <c r="Y24" s="681">
        <f>220+2628</f>
        <v>2848</v>
      </c>
      <c r="Z24" s="681">
        <f>2727+220</f>
        <v>2947</v>
      </c>
      <c r="AA24" s="681">
        <v>2996</v>
      </c>
      <c r="AB24" s="689">
        <f t="shared" si="1"/>
        <v>37.8952694156337</v>
      </c>
      <c r="AC24" s="154" t="s">
        <v>78</v>
      </c>
    </row>
    <row r="25" spans="1:29" ht="12.75">
      <c r="A25" s="120"/>
      <c r="B25" s="107" t="s">
        <v>79</v>
      </c>
      <c r="C25" s="179" t="s">
        <v>158</v>
      </c>
      <c r="D25" s="694" t="s">
        <v>158</v>
      </c>
      <c r="E25" s="694" t="s">
        <v>158</v>
      </c>
      <c r="F25" s="694" t="s">
        <v>158</v>
      </c>
      <c r="G25" s="694" t="s">
        <v>158</v>
      </c>
      <c r="H25" s="694" t="s">
        <v>158</v>
      </c>
      <c r="I25" s="694" t="s">
        <v>158</v>
      </c>
      <c r="J25" s="694" t="s">
        <v>158</v>
      </c>
      <c r="K25" s="694" t="s">
        <v>158</v>
      </c>
      <c r="L25" s="694" t="s">
        <v>158</v>
      </c>
      <c r="M25" s="694" t="s">
        <v>158</v>
      </c>
      <c r="N25" s="694" t="s">
        <v>158</v>
      </c>
      <c r="O25" s="694" t="s">
        <v>158</v>
      </c>
      <c r="P25" s="694" t="s">
        <v>158</v>
      </c>
      <c r="Q25" s="694" t="s">
        <v>158</v>
      </c>
      <c r="R25" s="694" t="s">
        <v>158</v>
      </c>
      <c r="S25" s="694" t="s">
        <v>158</v>
      </c>
      <c r="T25" s="694" t="s">
        <v>158</v>
      </c>
      <c r="U25" s="694" t="s">
        <v>158</v>
      </c>
      <c r="V25" s="695" t="s">
        <v>158</v>
      </c>
      <c r="W25" s="696" t="s">
        <v>158</v>
      </c>
      <c r="X25" s="697" t="s">
        <v>158</v>
      </c>
      <c r="Y25" s="697" t="s">
        <v>158</v>
      </c>
      <c r="Z25" s="697" t="s">
        <v>158</v>
      </c>
      <c r="AA25" s="697" t="s">
        <v>158</v>
      </c>
      <c r="AB25" s="697" t="s">
        <v>158</v>
      </c>
      <c r="AC25" s="107" t="s">
        <v>79</v>
      </c>
    </row>
    <row r="26" spans="1:29" ht="12.75">
      <c r="A26" s="120"/>
      <c r="B26" s="154" t="s">
        <v>16</v>
      </c>
      <c r="C26" s="680">
        <v>3147</v>
      </c>
      <c r="D26" s="681">
        <v>2880</v>
      </c>
      <c r="E26" s="681">
        <v>2798</v>
      </c>
      <c r="F26" s="681">
        <v>2739</v>
      </c>
      <c r="G26" s="681">
        <v>2739</v>
      </c>
      <c r="H26" s="681">
        <v>2805</v>
      </c>
      <c r="I26" s="681">
        <v>2808</v>
      </c>
      <c r="J26" s="681">
        <v>2808</v>
      </c>
      <c r="K26" s="681">
        <v>2802</v>
      </c>
      <c r="L26" s="681">
        <v>2809</v>
      </c>
      <c r="M26" s="681">
        <v>2806</v>
      </c>
      <c r="N26" s="681">
        <v>2811</v>
      </c>
      <c r="O26" s="681">
        <v>2810</v>
      </c>
      <c r="P26" s="173">
        <v>2797</v>
      </c>
      <c r="Q26" s="178">
        <v>2801</v>
      </c>
      <c r="R26" s="178">
        <v>2888</v>
      </c>
      <c r="S26" s="178">
        <v>2896</v>
      </c>
      <c r="T26" s="178">
        <v>2886</v>
      </c>
      <c r="U26" s="178">
        <v>3016</v>
      </c>
      <c r="V26" s="627">
        <v>3016</v>
      </c>
      <c r="W26" s="680">
        <v>2028</v>
      </c>
      <c r="X26" s="681">
        <v>2155</v>
      </c>
      <c r="Y26" s="681">
        <v>2195</v>
      </c>
      <c r="Z26" s="681">
        <v>2017</v>
      </c>
      <c r="AA26" s="681">
        <v>2107</v>
      </c>
      <c r="AB26" s="689">
        <f t="shared" si="1"/>
        <v>69.86074270557029</v>
      </c>
      <c r="AC26" s="154" t="s">
        <v>16</v>
      </c>
    </row>
    <row r="27" spans="1:29" ht="12.75">
      <c r="A27" s="120"/>
      <c r="B27" s="107" t="s">
        <v>82</v>
      </c>
      <c r="C27" s="682">
        <v>5901</v>
      </c>
      <c r="D27" s="683">
        <v>5857</v>
      </c>
      <c r="E27" s="683">
        <v>5624</v>
      </c>
      <c r="F27" s="683">
        <v>5672</v>
      </c>
      <c r="G27" s="683">
        <v>5672</v>
      </c>
      <c r="H27" s="683">
        <v>5672</v>
      </c>
      <c r="I27" s="683">
        <v>5643</v>
      </c>
      <c r="J27" s="683">
        <v>5643</v>
      </c>
      <c r="K27" s="683">
        <v>5665</v>
      </c>
      <c r="L27" s="683">
        <v>5697</v>
      </c>
      <c r="M27" s="683">
        <v>5779</v>
      </c>
      <c r="N27" s="683">
        <v>5787</v>
      </c>
      <c r="O27" s="683">
        <v>5675</v>
      </c>
      <c r="P27" s="108">
        <v>5691</v>
      </c>
      <c r="Q27" s="166">
        <f>5702+25+91</f>
        <v>5818</v>
      </c>
      <c r="R27" s="166">
        <f>5702+91+25</f>
        <v>5818</v>
      </c>
      <c r="S27" s="166">
        <v>5664</v>
      </c>
      <c r="T27" s="560">
        <v>5356</v>
      </c>
      <c r="U27" s="560">
        <v>5039</v>
      </c>
      <c r="V27" s="698">
        <v>5021</v>
      </c>
      <c r="W27" s="676">
        <f>3520+25</f>
        <v>3545</v>
      </c>
      <c r="X27" s="677">
        <v>3510</v>
      </c>
      <c r="Y27" s="677">
        <v>3518</v>
      </c>
      <c r="Z27" s="677">
        <v>3427</v>
      </c>
      <c r="AA27" s="677">
        <v>3416</v>
      </c>
      <c r="AB27" s="686">
        <f t="shared" si="1"/>
        <v>68.03425612427803</v>
      </c>
      <c r="AC27" s="107" t="s">
        <v>82</v>
      </c>
    </row>
    <row r="28" spans="1:29" ht="12.75">
      <c r="A28" s="120"/>
      <c r="B28" s="154" t="s">
        <v>81</v>
      </c>
      <c r="C28" s="680">
        <v>26678</v>
      </c>
      <c r="D28" s="681">
        <v>27181</v>
      </c>
      <c r="E28" s="681">
        <v>26228</v>
      </c>
      <c r="F28" s="681">
        <v>23986</v>
      </c>
      <c r="G28" s="681">
        <v>23420</v>
      </c>
      <c r="H28" s="681">
        <v>23328</v>
      </c>
      <c r="I28" s="681">
        <v>23210</v>
      </c>
      <c r="J28" s="681">
        <v>22891</v>
      </c>
      <c r="K28" s="681">
        <v>22560</v>
      </c>
      <c r="L28" s="681">
        <v>20134</v>
      </c>
      <c r="M28" s="681">
        <v>20223</v>
      </c>
      <c r="N28" s="681">
        <v>20665</v>
      </c>
      <c r="O28" s="681">
        <v>20250</v>
      </c>
      <c r="P28" s="173">
        <v>19507</v>
      </c>
      <c r="Q28" s="178">
        <v>19429</v>
      </c>
      <c r="R28" s="178">
        <v>19419</v>
      </c>
      <c r="S28" s="178">
        <v>19627</v>
      </c>
      <c r="T28" s="178">
        <v>19764</v>
      </c>
      <c r="U28" s="178">
        <v>19702</v>
      </c>
      <c r="V28" s="627">
        <v>19725</v>
      </c>
      <c r="W28" s="680">
        <v>11831</v>
      </c>
      <c r="X28" s="681">
        <v>11856</v>
      </c>
      <c r="Y28" s="681">
        <v>11891</v>
      </c>
      <c r="Z28" s="681">
        <v>11854</v>
      </c>
      <c r="AA28" s="681">
        <v>11817</v>
      </c>
      <c r="AB28" s="689">
        <f t="shared" si="1"/>
        <v>59.90874524714829</v>
      </c>
      <c r="AC28" s="154" t="s">
        <v>81</v>
      </c>
    </row>
    <row r="29" spans="1:29" ht="12.75">
      <c r="A29" s="120"/>
      <c r="B29" s="107" t="s">
        <v>93</v>
      </c>
      <c r="C29" s="682">
        <v>3588</v>
      </c>
      <c r="D29" s="683">
        <v>3609</v>
      </c>
      <c r="E29" s="683">
        <v>3064</v>
      </c>
      <c r="F29" s="683">
        <v>2850</v>
      </c>
      <c r="G29" s="683">
        <v>2850</v>
      </c>
      <c r="H29" s="683">
        <v>2856</v>
      </c>
      <c r="I29" s="683">
        <v>2794</v>
      </c>
      <c r="J29" s="683">
        <v>2813</v>
      </c>
      <c r="K29" s="683">
        <v>2814</v>
      </c>
      <c r="L29" s="683">
        <v>2814</v>
      </c>
      <c r="M29" s="683">
        <v>2818</v>
      </c>
      <c r="N29" s="683">
        <v>2818</v>
      </c>
      <c r="O29" s="683">
        <v>2849</v>
      </c>
      <c r="P29" s="108">
        <v>2844</v>
      </c>
      <c r="Q29" s="166">
        <v>2839</v>
      </c>
      <c r="R29" s="166">
        <v>2838</v>
      </c>
      <c r="S29" s="166">
        <v>2842</v>
      </c>
      <c r="T29" s="166">
        <v>2842</v>
      </c>
      <c r="U29" s="166">
        <v>2842</v>
      </c>
      <c r="V29" s="688">
        <v>2793</v>
      </c>
      <c r="W29" s="676">
        <v>1435</v>
      </c>
      <c r="X29" s="677">
        <v>1460</v>
      </c>
      <c r="Y29" s="677">
        <v>1460</v>
      </c>
      <c r="Z29" s="677">
        <v>1487</v>
      </c>
      <c r="AA29" s="677">
        <v>1629</v>
      </c>
      <c r="AB29" s="686">
        <f t="shared" si="1"/>
        <v>58.32438238453276</v>
      </c>
      <c r="AC29" s="107" t="s">
        <v>93</v>
      </c>
    </row>
    <row r="30" spans="1:29" ht="12.75">
      <c r="A30" s="120"/>
      <c r="B30" s="154" t="s">
        <v>103</v>
      </c>
      <c r="C30" s="680">
        <v>11012</v>
      </c>
      <c r="D30" s="681">
        <v>11110</v>
      </c>
      <c r="E30" s="681">
        <v>11348</v>
      </c>
      <c r="F30" s="681">
        <v>11376</v>
      </c>
      <c r="G30" s="681">
        <v>11385</v>
      </c>
      <c r="H30" s="681">
        <v>11380</v>
      </c>
      <c r="I30" s="681">
        <v>11010</v>
      </c>
      <c r="J30" s="681">
        <v>10981</v>
      </c>
      <c r="K30" s="681">
        <v>11015</v>
      </c>
      <c r="L30" s="681">
        <v>11015</v>
      </c>
      <c r="M30" s="681">
        <v>11002</v>
      </c>
      <c r="N30" s="681">
        <v>11077</v>
      </c>
      <c r="O30" s="681">
        <v>11053</v>
      </c>
      <c r="P30" s="173">
        <v>10948</v>
      </c>
      <c r="Q30" s="681">
        <v>10781</v>
      </c>
      <c r="R30" s="681">
        <v>10777</v>
      </c>
      <c r="S30" s="681">
        <v>10777</v>
      </c>
      <c r="T30" s="681">
        <v>10776</v>
      </c>
      <c r="U30" s="681">
        <v>10777</v>
      </c>
      <c r="V30" s="699">
        <v>10777</v>
      </c>
      <c r="W30" s="680">
        <v>3979</v>
      </c>
      <c r="X30" s="681">
        <v>3974</v>
      </c>
      <c r="Y30" s="681">
        <v>4002</v>
      </c>
      <c r="Z30" s="681">
        <v>4031</v>
      </c>
      <c r="AA30" s="681">
        <v>4032</v>
      </c>
      <c r="AB30" s="689">
        <f t="shared" si="1"/>
        <v>37.413009186229935</v>
      </c>
      <c r="AC30" s="154" t="s">
        <v>103</v>
      </c>
    </row>
    <row r="31" spans="1:29" ht="12.75">
      <c r="A31" s="120"/>
      <c r="B31" s="107" t="s">
        <v>84</v>
      </c>
      <c r="C31" s="682">
        <v>1055</v>
      </c>
      <c r="D31" s="683">
        <v>1058</v>
      </c>
      <c r="E31" s="683">
        <v>1196</v>
      </c>
      <c r="F31" s="683">
        <v>1201</v>
      </c>
      <c r="G31" s="683">
        <v>1201</v>
      </c>
      <c r="H31" s="683">
        <v>1201</v>
      </c>
      <c r="I31" s="683">
        <v>1201</v>
      </c>
      <c r="J31" s="683">
        <v>1201</v>
      </c>
      <c r="K31" s="683">
        <v>1201</v>
      </c>
      <c r="L31" s="683">
        <v>1229</v>
      </c>
      <c r="M31" s="683">
        <v>1229</v>
      </c>
      <c r="N31" s="683">
        <v>1229</v>
      </c>
      <c r="O31" s="683">
        <v>1229</v>
      </c>
      <c r="P31" s="108">
        <v>1228</v>
      </c>
      <c r="Q31" s="166">
        <v>1228</v>
      </c>
      <c r="R31" s="166">
        <v>1228</v>
      </c>
      <c r="S31" s="166">
        <v>1228</v>
      </c>
      <c r="T31" s="166">
        <v>1228</v>
      </c>
      <c r="U31" s="166">
        <v>1228</v>
      </c>
      <c r="V31" s="688">
        <v>1209</v>
      </c>
      <c r="W31" s="676">
        <v>503</v>
      </c>
      <c r="X31" s="677">
        <v>503</v>
      </c>
      <c r="Y31" s="677">
        <v>503</v>
      </c>
      <c r="Z31" s="677">
        <v>503</v>
      </c>
      <c r="AA31" s="677">
        <v>500</v>
      </c>
      <c r="AB31" s="686">
        <f t="shared" si="1"/>
        <v>41.3564929693962</v>
      </c>
      <c r="AC31" s="107" t="s">
        <v>84</v>
      </c>
    </row>
    <row r="32" spans="1:29" ht="12.75">
      <c r="A32" s="120"/>
      <c r="B32" s="154" t="s">
        <v>86</v>
      </c>
      <c r="C32" s="680"/>
      <c r="D32" s="681"/>
      <c r="E32" s="681">
        <v>3660</v>
      </c>
      <c r="F32" s="173">
        <v>3665</v>
      </c>
      <c r="G32" s="173">
        <v>3673</v>
      </c>
      <c r="H32" s="173">
        <v>3673</v>
      </c>
      <c r="I32" s="173">
        <v>3665</v>
      </c>
      <c r="J32" s="173">
        <v>3665</v>
      </c>
      <c r="K32" s="173">
        <v>3662</v>
      </c>
      <c r="L32" s="173">
        <v>3662</v>
      </c>
      <c r="M32" s="173">
        <v>3657</v>
      </c>
      <c r="N32" s="173">
        <v>3657</v>
      </c>
      <c r="O32" s="173">
        <v>3660</v>
      </c>
      <c r="P32" s="173">
        <v>3658</v>
      </c>
      <c r="Q32" s="174">
        <v>3658</v>
      </c>
      <c r="R32" s="174">
        <v>3629</v>
      </c>
      <c r="S32" s="174">
        <v>3623</v>
      </c>
      <c r="T32" s="174">
        <v>3623</v>
      </c>
      <c r="U32" s="174">
        <v>3622</v>
      </c>
      <c r="V32" s="634">
        <v>3624</v>
      </c>
      <c r="W32" s="680">
        <v>1578</v>
      </c>
      <c r="X32" s="681">
        <v>1577</v>
      </c>
      <c r="Y32" s="681">
        <v>1577</v>
      </c>
      <c r="Z32" s="681">
        <v>1578</v>
      </c>
      <c r="AA32" s="681">
        <v>1578</v>
      </c>
      <c r="AB32" s="689">
        <f>AA32/V32*100</f>
        <v>43.54304635761589</v>
      </c>
      <c r="AC32" s="154" t="s">
        <v>86</v>
      </c>
    </row>
    <row r="33" spans="1:29" ht="12.75">
      <c r="A33" s="120"/>
      <c r="B33" s="107" t="s">
        <v>88</v>
      </c>
      <c r="C33" s="682">
        <v>5804</v>
      </c>
      <c r="D33" s="683">
        <v>6075</v>
      </c>
      <c r="E33" s="683">
        <v>5867</v>
      </c>
      <c r="F33" s="683">
        <v>5880</v>
      </c>
      <c r="G33" s="683">
        <v>5859</v>
      </c>
      <c r="H33" s="683">
        <v>5865</v>
      </c>
      <c r="I33" s="683">
        <v>5867</v>
      </c>
      <c r="J33" s="683">
        <v>5836</v>
      </c>
      <c r="K33" s="683">
        <v>5854</v>
      </c>
      <c r="L33" s="683">
        <v>5850</v>
      </c>
      <c r="M33" s="683">
        <v>5850</v>
      </c>
      <c r="N33" s="683">
        <v>5851</v>
      </c>
      <c r="O33" s="683">
        <v>5741</v>
      </c>
      <c r="P33" s="108">
        <v>5732</v>
      </c>
      <c r="Q33" s="166">
        <v>5905</v>
      </c>
      <c r="R33" s="166">
        <v>5899</v>
      </c>
      <c r="S33" s="166">
        <v>5919</v>
      </c>
      <c r="T33" s="166">
        <v>5919</v>
      </c>
      <c r="U33" s="166">
        <v>5919</v>
      </c>
      <c r="V33" s="688">
        <v>5944</v>
      </c>
      <c r="W33" s="676">
        <v>3047</v>
      </c>
      <c r="X33" s="677">
        <v>3067</v>
      </c>
      <c r="Y33" s="677">
        <v>3067</v>
      </c>
      <c r="Z33" s="677">
        <v>3073</v>
      </c>
      <c r="AA33" s="677">
        <v>3172</v>
      </c>
      <c r="AB33" s="686">
        <f aca="true" t="shared" si="4" ref="AB33:AB41">AA33/V33*100</f>
        <v>53.36473755047106</v>
      </c>
      <c r="AC33" s="107" t="s">
        <v>88</v>
      </c>
    </row>
    <row r="34" spans="1:29" ht="12.75">
      <c r="A34" s="120"/>
      <c r="B34" s="154" t="s">
        <v>89</v>
      </c>
      <c r="C34" s="680">
        <v>12203</v>
      </c>
      <c r="D34" s="681">
        <v>12006</v>
      </c>
      <c r="E34" s="681">
        <v>11193</v>
      </c>
      <c r="F34" s="681">
        <v>10925</v>
      </c>
      <c r="G34" s="681">
        <v>10964</v>
      </c>
      <c r="H34" s="681">
        <v>10941</v>
      </c>
      <c r="I34" s="681">
        <v>10997</v>
      </c>
      <c r="J34" s="681">
        <v>11044</v>
      </c>
      <c r="K34" s="681">
        <v>11037</v>
      </c>
      <c r="L34" s="681">
        <v>11021</v>
      </c>
      <c r="M34" s="681">
        <v>11095</v>
      </c>
      <c r="N34" s="681">
        <v>11037</v>
      </c>
      <c r="O34" s="681">
        <v>11050</v>
      </c>
      <c r="P34" s="173">
        <v>11017</v>
      </c>
      <c r="Q34" s="681">
        <v>11020</v>
      </c>
      <c r="R34" s="173">
        <v>10972</v>
      </c>
      <c r="S34" s="681">
        <v>11032</v>
      </c>
      <c r="T34" s="681">
        <v>11138</v>
      </c>
      <c r="U34" s="681">
        <v>11149</v>
      </c>
      <c r="V34" s="700">
        <v>11212.82</v>
      </c>
      <c r="W34" s="680">
        <v>7848</v>
      </c>
      <c r="X34" s="681">
        <v>7867</v>
      </c>
      <c r="Y34" s="681">
        <v>7963</v>
      </c>
      <c r="Z34" s="681">
        <v>7965</v>
      </c>
      <c r="AA34" s="701">
        <v>8120.97</v>
      </c>
      <c r="AB34" s="689">
        <f t="shared" si="4"/>
        <v>72.42575908647424</v>
      </c>
      <c r="AC34" s="154" t="s">
        <v>89</v>
      </c>
    </row>
    <row r="35" spans="1:29" ht="12.75">
      <c r="A35" s="120"/>
      <c r="B35" s="107" t="s">
        <v>13</v>
      </c>
      <c r="C35" s="682">
        <v>19330</v>
      </c>
      <c r="D35" s="683">
        <v>18030</v>
      </c>
      <c r="E35" s="683">
        <v>16914</v>
      </c>
      <c r="F35" s="683">
        <v>17069</v>
      </c>
      <c r="G35" s="683">
        <v>17066</v>
      </c>
      <c r="H35" s="683">
        <v>17176</v>
      </c>
      <c r="I35" s="683">
        <v>17179</v>
      </c>
      <c r="J35" s="683">
        <v>17064</v>
      </c>
      <c r="K35" s="683">
        <v>17044</v>
      </c>
      <c r="L35" s="683">
        <v>17052</v>
      </c>
      <c r="M35" s="683">
        <v>17052</v>
      </c>
      <c r="N35" s="702">
        <v>17052</v>
      </c>
      <c r="O35" s="702">
        <f>58+340+16116</f>
        <v>16514</v>
      </c>
      <c r="P35" s="703">
        <f>58+340+15810</f>
        <v>16208</v>
      </c>
      <c r="Q35" s="184">
        <f>15795+340+58</f>
        <v>16193</v>
      </c>
      <c r="R35" s="184">
        <f>15814+340+58</f>
        <v>16212</v>
      </c>
      <c r="S35" s="184">
        <f>15814+340+58</f>
        <v>16212</v>
      </c>
      <c r="T35" s="184">
        <f>58+15753+340</f>
        <v>16151</v>
      </c>
      <c r="U35" s="184">
        <f>15777+340+58</f>
        <v>16175</v>
      </c>
      <c r="V35" s="704">
        <v>16134</v>
      </c>
      <c r="W35" s="705">
        <f>5255+58</f>
        <v>5313</v>
      </c>
      <c r="X35" s="706">
        <v>5318</v>
      </c>
      <c r="Y35" s="706">
        <f>58+5249</f>
        <v>5307</v>
      </c>
      <c r="Z35" s="706">
        <f>5262+58</f>
        <v>5320</v>
      </c>
      <c r="AA35" s="706">
        <v>5319</v>
      </c>
      <c r="AB35" s="707">
        <f t="shared" si="4"/>
        <v>32.96764596504277</v>
      </c>
      <c r="AC35" s="107" t="s">
        <v>13</v>
      </c>
    </row>
    <row r="36" spans="1:29" ht="12.75">
      <c r="A36" s="120"/>
      <c r="B36" s="148" t="s">
        <v>164</v>
      </c>
      <c r="C36" s="708">
        <v>2411</v>
      </c>
      <c r="D36" s="709">
        <v>2437</v>
      </c>
      <c r="E36" s="709">
        <v>2429</v>
      </c>
      <c r="F36" s="709">
        <v>2296</v>
      </c>
      <c r="G36" s="709">
        <v>2726</v>
      </c>
      <c r="H36" s="709">
        <v>2726</v>
      </c>
      <c r="I36" s="709">
        <v>2726</v>
      </c>
      <c r="J36" s="709">
        <v>2726</v>
      </c>
      <c r="K36" s="709">
        <v>2726</v>
      </c>
      <c r="L36" s="709">
        <v>2726</v>
      </c>
      <c r="M36" s="709">
        <v>2726</v>
      </c>
      <c r="N36" s="709">
        <v>2726</v>
      </c>
      <c r="O36" s="709">
        <v>2726</v>
      </c>
      <c r="P36" s="189">
        <v>2726</v>
      </c>
      <c r="Q36" s="178">
        <v>2722</v>
      </c>
      <c r="R36" s="178">
        <v>2722</v>
      </c>
      <c r="S36" s="178">
        <v>2722</v>
      </c>
      <c r="T36" s="178">
        <v>2722</v>
      </c>
      <c r="U36" s="178">
        <v>2722</v>
      </c>
      <c r="V36" s="627">
        <v>2722</v>
      </c>
      <c r="W36" s="680">
        <v>980</v>
      </c>
      <c r="X36" s="681">
        <v>985</v>
      </c>
      <c r="Y36" s="681">
        <v>984</v>
      </c>
      <c r="Z36" s="681">
        <v>984</v>
      </c>
      <c r="AA36" s="681">
        <v>984</v>
      </c>
      <c r="AB36" s="689">
        <f t="shared" si="4"/>
        <v>36.14988978692138</v>
      </c>
      <c r="AC36" s="148" t="s">
        <v>164</v>
      </c>
    </row>
    <row r="37" spans="1:29" ht="12.75">
      <c r="A37" s="120"/>
      <c r="B37" s="107" t="s">
        <v>165</v>
      </c>
      <c r="C37" s="682"/>
      <c r="D37" s="683">
        <v>673</v>
      </c>
      <c r="E37" s="683">
        <v>696</v>
      </c>
      <c r="F37" s="683">
        <v>699</v>
      </c>
      <c r="G37" s="683">
        <v>699</v>
      </c>
      <c r="H37" s="683">
        <v>699</v>
      </c>
      <c r="I37" s="683">
        <v>699</v>
      </c>
      <c r="J37" s="683">
        <v>699</v>
      </c>
      <c r="K37" s="683">
        <v>699</v>
      </c>
      <c r="L37" s="683">
        <v>699</v>
      </c>
      <c r="M37" s="683">
        <v>699</v>
      </c>
      <c r="N37" s="683">
        <v>699</v>
      </c>
      <c r="O37" s="683">
        <v>699</v>
      </c>
      <c r="P37" s="108">
        <v>699</v>
      </c>
      <c r="Q37" s="166">
        <v>699</v>
      </c>
      <c r="R37" s="166">
        <v>699</v>
      </c>
      <c r="S37" s="166">
        <v>699</v>
      </c>
      <c r="T37" s="166">
        <v>699</v>
      </c>
      <c r="U37" s="166">
        <v>699</v>
      </c>
      <c r="V37" s="688">
        <v>699</v>
      </c>
      <c r="W37" s="676">
        <v>234</v>
      </c>
      <c r="X37" s="677">
        <v>234</v>
      </c>
      <c r="Y37" s="677">
        <v>234</v>
      </c>
      <c r="Z37" s="677">
        <v>234</v>
      </c>
      <c r="AA37" s="677">
        <v>234</v>
      </c>
      <c r="AB37" s="686">
        <f t="shared" si="4"/>
        <v>33.47639484978541</v>
      </c>
      <c r="AC37" s="107" t="s">
        <v>165</v>
      </c>
    </row>
    <row r="38" spans="1:29" ht="12.75">
      <c r="A38" s="120"/>
      <c r="B38" s="156" t="s">
        <v>166</v>
      </c>
      <c r="C38" s="710">
        <v>7985</v>
      </c>
      <c r="D38" s="711">
        <v>8387</v>
      </c>
      <c r="E38" s="711">
        <v>8429</v>
      </c>
      <c r="F38" s="711">
        <v>8549</v>
      </c>
      <c r="G38" s="711">
        <v>8607</v>
      </c>
      <c r="H38" s="711">
        <v>8607</v>
      </c>
      <c r="I38" s="711">
        <v>8607</v>
      </c>
      <c r="J38" s="711">
        <v>8682</v>
      </c>
      <c r="K38" s="711">
        <v>8671</v>
      </c>
      <c r="L38" s="711">
        <v>8671</v>
      </c>
      <c r="M38" s="711">
        <v>8671</v>
      </c>
      <c r="N38" s="711">
        <v>8697</v>
      </c>
      <c r="O38" s="711">
        <v>8697</v>
      </c>
      <c r="P38" s="712">
        <v>8697</v>
      </c>
      <c r="Q38" s="713">
        <v>8697</v>
      </c>
      <c r="R38" s="713">
        <v>8697</v>
      </c>
      <c r="S38" s="713">
        <v>8699</v>
      </c>
      <c r="T38" s="713">
        <v>9080</v>
      </c>
      <c r="U38" s="178">
        <v>9594</v>
      </c>
      <c r="V38" s="627">
        <v>9642</v>
      </c>
      <c r="W38" s="680">
        <v>1920</v>
      </c>
      <c r="X38" s="681">
        <v>1928</v>
      </c>
      <c r="Y38" s="681">
        <v>2313</v>
      </c>
      <c r="Z38" s="681">
        <v>2791</v>
      </c>
      <c r="AA38" s="681">
        <v>2789</v>
      </c>
      <c r="AB38" s="689">
        <f t="shared" si="4"/>
        <v>28.925534121551543</v>
      </c>
      <c r="AC38" s="156" t="s">
        <v>166</v>
      </c>
    </row>
    <row r="39" spans="1:29" ht="12.75">
      <c r="A39" s="120"/>
      <c r="B39" s="107" t="s">
        <v>167</v>
      </c>
      <c r="C39" s="179" t="s">
        <v>158</v>
      </c>
      <c r="D39" s="694" t="s">
        <v>158</v>
      </c>
      <c r="E39" s="714" t="s">
        <v>158</v>
      </c>
      <c r="F39" s="714" t="s">
        <v>158</v>
      </c>
      <c r="G39" s="694" t="s">
        <v>158</v>
      </c>
      <c r="H39" s="694" t="s">
        <v>158</v>
      </c>
      <c r="I39" s="694" t="s">
        <v>158</v>
      </c>
      <c r="J39" s="694" t="s">
        <v>158</v>
      </c>
      <c r="K39" s="694" t="s">
        <v>158</v>
      </c>
      <c r="L39" s="694" t="s">
        <v>158</v>
      </c>
      <c r="M39" s="694" t="s">
        <v>158</v>
      </c>
      <c r="N39" s="694" t="s">
        <v>158</v>
      </c>
      <c r="O39" s="714" t="s">
        <v>158</v>
      </c>
      <c r="P39" s="714" t="s">
        <v>158</v>
      </c>
      <c r="Q39" s="714" t="s">
        <v>158</v>
      </c>
      <c r="R39" s="714" t="s">
        <v>158</v>
      </c>
      <c r="S39" s="714" t="s">
        <v>158</v>
      </c>
      <c r="T39" s="714" t="s">
        <v>158</v>
      </c>
      <c r="U39" s="714" t="s">
        <v>158</v>
      </c>
      <c r="V39" s="715" t="s">
        <v>158</v>
      </c>
      <c r="W39" s="716" t="s">
        <v>158</v>
      </c>
      <c r="X39" s="717" t="s">
        <v>158</v>
      </c>
      <c r="Y39" s="717" t="s">
        <v>158</v>
      </c>
      <c r="Z39" s="717" t="s">
        <v>158</v>
      </c>
      <c r="AA39" s="717" t="s">
        <v>158</v>
      </c>
      <c r="AB39" s="717" t="s">
        <v>158</v>
      </c>
      <c r="AC39" s="107" t="s">
        <v>167</v>
      </c>
    </row>
    <row r="40" spans="1:29" ht="12.75">
      <c r="A40" s="120"/>
      <c r="B40" s="154" t="s">
        <v>168</v>
      </c>
      <c r="C40" s="680">
        <v>4242</v>
      </c>
      <c r="D40" s="681">
        <v>4242</v>
      </c>
      <c r="E40" s="681">
        <v>4044</v>
      </c>
      <c r="F40" s="681">
        <v>4023</v>
      </c>
      <c r="G40" s="681">
        <v>4152</v>
      </c>
      <c r="H40" s="681">
        <v>4152</v>
      </c>
      <c r="I40" s="681">
        <v>4152</v>
      </c>
      <c r="J40" s="681">
        <v>4021</v>
      </c>
      <c r="K40" s="681">
        <v>4413</v>
      </c>
      <c r="L40" s="681">
        <v>4425</v>
      </c>
      <c r="M40" s="681">
        <v>4324</v>
      </c>
      <c r="N40" s="681">
        <v>4334</v>
      </c>
      <c r="O40" s="681">
        <v>4334</v>
      </c>
      <c r="P40" s="173">
        <v>4334</v>
      </c>
      <c r="Q40" s="178">
        <v>4338</v>
      </c>
      <c r="R40" s="178">
        <v>4374</v>
      </c>
      <c r="S40" s="178">
        <v>4341</v>
      </c>
      <c r="T40" s="178">
        <v>4151</v>
      </c>
      <c r="U40" s="178">
        <v>4199</v>
      </c>
      <c r="V40" s="627">
        <v>4154</v>
      </c>
      <c r="W40" s="680">
        <v>2792</v>
      </c>
      <c r="X40" s="681">
        <v>2779</v>
      </c>
      <c r="Y40" s="681">
        <v>2746</v>
      </c>
      <c r="Z40" s="681">
        <v>2765</v>
      </c>
      <c r="AA40" s="681">
        <v>2551</v>
      </c>
      <c r="AB40" s="689">
        <f t="shared" si="4"/>
        <v>61.410688493018775</v>
      </c>
      <c r="AC40" s="154" t="s">
        <v>168</v>
      </c>
    </row>
    <row r="41" spans="1:29" ht="12.75">
      <c r="A41" s="120"/>
      <c r="B41" s="109" t="s">
        <v>169</v>
      </c>
      <c r="C41" s="718">
        <v>3161</v>
      </c>
      <c r="D41" s="702">
        <v>3178</v>
      </c>
      <c r="E41" s="702">
        <v>3215</v>
      </c>
      <c r="F41" s="702">
        <v>3232</v>
      </c>
      <c r="G41" s="702">
        <v>3234</v>
      </c>
      <c r="H41" s="702">
        <v>3184</v>
      </c>
      <c r="I41" s="702">
        <v>3151</v>
      </c>
      <c r="J41" s="702">
        <v>3143</v>
      </c>
      <c r="K41" s="702">
        <v>3216</v>
      </c>
      <c r="L41" s="702">
        <v>3225</v>
      </c>
      <c r="M41" s="702">
        <v>3222</v>
      </c>
      <c r="N41" s="702">
        <f>2990+241</f>
        <v>3231</v>
      </c>
      <c r="O41" s="702">
        <v>3381</v>
      </c>
      <c r="P41" s="703">
        <f>241+3158</f>
        <v>3399</v>
      </c>
      <c r="Q41" s="184">
        <f>3158+405</f>
        <v>3563</v>
      </c>
      <c r="R41" s="184">
        <f>3158+405</f>
        <v>3563</v>
      </c>
      <c r="S41" s="184">
        <v>3557</v>
      </c>
      <c r="T41" s="184">
        <f>460+3139</f>
        <v>3599</v>
      </c>
      <c r="U41" s="184">
        <f>3137+460</f>
        <v>3597</v>
      </c>
      <c r="V41" s="704">
        <v>3574</v>
      </c>
      <c r="W41" s="705">
        <f>3158+405</f>
        <v>3563</v>
      </c>
      <c r="X41" s="706">
        <v>3557</v>
      </c>
      <c r="Y41" s="706">
        <f>460+3139</f>
        <v>3599</v>
      </c>
      <c r="Z41" s="706">
        <f>3137+436</f>
        <v>3573</v>
      </c>
      <c r="AA41" s="706">
        <v>3573</v>
      </c>
      <c r="AB41" s="707">
        <f t="shared" si="4"/>
        <v>99.97202014549525</v>
      </c>
      <c r="AC41" s="109" t="s">
        <v>169</v>
      </c>
    </row>
    <row r="42" spans="2:29" ht="12.75">
      <c r="B42" s="1098" t="s">
        <v>277</v>
      </c>
      <c r="C42" s="1098"/>
      <c r="D42" s="1098"/>
      <c r="E42" s="1098"/>
      <c r="F42" s="1098"/>
      <c r="G42" s="1098"/>
      <c r="H42" s="1098"/>
      <c r="I42" s="1098"/>
      <c r="J42" s="1098"/>
      <c r="K42" s="1098"/>
      <c r="L42" s="1098"/>
      <c r="M42" s="1098"/>
      <c r="N42" s="1098"/>
      <c r="O42" s="1098"/>
      <c r="P42" s="1098"/>
      <c r="Q42" s="1098"/>
      <c r="R42" s="1098"/>
      <c r="S42" s="1098"/>
      <c r="T42" s="1098"/>
      <c r="U42" s="1098"/>
      <c r="V42" s="1098"/>
      <c r="W42" s="1098"/>
      <c r="X42" s="1098"/>
      <c r="Y42" s="1098"/>
      <c r="Z42" s="206"/>
      <c r="AA42" s="206"/>
      <c r="AB42" s="206"/>
      <c r="AC42" s="206"/>
    </row>
    <row r="43" spans="2:29" ht="12.75">
      <c r="B43" s="135" t="s">
        <v>197</v>
      </c>
      <c r="D43" s="135"/>
      <c r="E43" s="135"/>
      <c r="F43" s="135"/>
      <c r="G43" s="135"/>
      <c r="H43" s="135"/>
      <c r="I43" s="135"/>
      <c r="J43" s="135"/>
      <c r="K43" s="135"/>
      <c r="L43" s="135"/>
      <c r="M43" s="135"/>
      <c r="N43" s="135"/>
      <c r="O43" s="135"/>
      <c r="P43" s="214"/>
      <c r="Q43" s="214"/>
      <c r="R43" s="214"/>
      <c r="S43" s="214"/>
      <c r="Y43" s="214"/>
      <c r="Z43" s="214"/>
      <c r="AA43" s="214"/>
      <c r="AB43" s="214"/>
      <c r="AC43" s="214"/>
    </row>
    <row r="44" ht="12.75">
      <c r="B44" s="340" t="s">
        <v>278</v>
      </c>
    </row>
    <row r="45" ht="12.75">
      <c r="B45" s="340" t="s">
        <v>279</v>
      </c>
    </row>
  </sheetData>
  <sheetProtection/>
  <mergeCells count="3">
    <mergeCell ref="B1:C1"/>
    <mergeCell ref="B2:Y2"/>
    <mergeCell ref="B42:Y4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AA48"/>
  <sheetViews>
    <sheetView zoomScalePageLayoutView="0" workbookViewId="0" topLeftCell="A1">
      <selection activeCell="Y36" sqref="Y36"/>
    </sheetView>
  </sheetViews>
  <sheetFormatPr defaultColWidth="9.140625" defaultRowHeight="12.75"/>
  <sheetData>
    <row r="1" spans="1:27" ht="15.75">
      <c r="A1" s="726"/>
      <c r="B1" s="726"/>
      <c r="C1" s="726"/>
      <c r="D1" s="726"/>
      <c r="E1" s="726"/>
      <c r="F1" s="726"/>
      <c r="G1" s="726"/>
      <c r="H1" s="726"/>
      <c r="I1" s="726"/>
      <c r="J1" s="726"/>
      <c r="K1" s="726"/>
      <c r="L1" s="726"/>
      <c r="M1" s="726"/>
      <c r="N1" s="726"/>
      <c r="O1" s="744"/>
      <c r="P1" s="745"/>
      <c r="Q1" s="746"/>
      <c r="R1" s="746"/>
      <c r="S1" s="727"/>
      <c r="T1" s="727"/>
      <c r="U1" s="727"/>
      <c r="V1" s="727"/>
      <c r="W1" s="727"/>
      <c r="X1" s="727"/>
      <c r="Y1" s="443"/>
      <c r="Z1" s="443"/>
      <c r="AA1" s="724" t="s">
        <v>280</v>
      </c>
    </row>
    <row r="2" spans="1:27" ht="15.75">
      <c r="A2" s="1067" t="s">
        <v>281</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row>
    <row r="3" spans="1:27" ht="12.75">
      <c r="A3" s="1110" t="s">
        <v>282</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row>
    <row r="4" spans="1:27" ht="12.75">
      <c r="A4" s="443"/>
      <c r="B4" s="443"/>
      <c r="C4" s="443"/>
      <c r="D4" s="443"/>
      <c r="E4" s="443"/>
      <c r="F4" s="443"/>
      <c r="G4" s="443"/>
      <c r="H4" s="443"/>
      <c r="I4" s="443"/>
      <c r="J4" s="443"/>
      <c r="K4" s="443"/>
      <c r="L4" s="443"/>
      <c r="M4" s="443"/>
      <c r="N4" s="443"/>
      <c r="O4" s="725"/>
      <c r="P4" s="728"/>
      <c r="Q4" s="727"/>
      <c r="R4" s="727"/>
      <c r="S4" s="727"/>
      <c r="T4" s="727"/>
      <c r="U4" s="727"/>
      <c r="V4" s="729"/>
      <c r="W4" s="729" t="s">
        <v>283</v>
      </c>
      <c r="X4" s="729"/>
      <c r="Y4" s="443"/>
      <c r="Z4" s="443"/>
      <c r="AA4" s="443"/>
    </row>
    <row r="5" spans="1:27" ht="18.75">
      <c r="A5" s="736"/>
      <c r="B5" s="737">
        <v>1970</v>
      </c>
      <c r="C5" s="737">
        <v>1980</v>
      </c>
      <c r="D5" s="734">
        <v>1990</v>
      </c>
      <c r="E5" s="735">
        <v>1991</v>
      </c>
      <c r="F5" s="735">
        <v>1992</v>
      </c>
      <c r="G5" s="735">
        <v>1993</v>
      </c>
      <c r="H5" s="735">
        <v>1994</v>
      </c>
      <c r="I5" s="735">
        <v>1995</v>
      </c>
      <c r="J5" s="735">
        <v>1996</v>
      </c>
      <c r="K5" s="735">
        <v>1997</v>
      </c>
      <c r="L5" s="735">
        <v>1998</v>
      </c>
      <c r="M5" s="735">
        <v>1999</v>
      </c>
      <c r="N5" s="735">
        <v>2000</v>
      </c>
      <c r="O5" s="735">
        <v>2001</v>
      </c>
      <c r="P5" s="735">
        <v>2002</v>
      </c>
      <c r="Q5" s="735">
        <v>2003</v>
      </c>
      <c r="R5" s="735">
        <v>2004</v>
      </c>
      <c r="S5" s="735">
        <v>2005</v>
      </c>
      <c r="T5" s="735">
        <v>2006</v>
      </c>
      <c r="U5" s="735">
        <v>2007</v>
      </c>
      <c r="V5" s="735">
        <v>2008</v>
      </c>
      <c r="W5" s="735">
        <v>2009</v>
      </c>
      <c r="X5" s="735">
        <v>2010</v>
      </c>
      <c r="Y5" s="735">
        <v>2011</v>
      </c>
      <c r="Z5" s="747" t="s">
        <v>159</v>
      </c>
      <c r="AA5" s="722"/>
    </row>
    <row r="6" spans="1:27" ht="12.75">
      <c r="A6" s="736"/>
      <c r="B6" s="738"/>
      <c r="C6" s="738"/>
      <c r="D6" s="741"/>
      <c r="E6" s="733"/>
      <c r="F6" s="733"/>
      <c r="G6" s="733"/>
      <c r="H6" s="733"/>
      <c r="I6" s="733"/>
      <c r="J6" s="733"/>
      <c r="K6" s="733"/>
      <c r="L6" s="733"/>
      <c r="M6" s="733"/>
      <c r="N6" s="733"/>
      <c r="O6" s="733"/>
      <c r="P6" s="733"/>
      <c r="Q6" s="733"/>
      <c r="R6" s="733"/>
      <c r="S6" s="733"/>
      <c r="T6" s="733"/>
      <c r="U6" s="733"/>
      <c r="V6" s="733"/>
      <c r="W6" s="733"/>
      <c r="X6" s="795"/>
      <c r="Y6" s="797"/>
      <c r="Z6" s="796" t="s">
        <v>160</v>
      </c>
      <c r="AA6" s="722"/>
    </row>
    <row r="7" spans="1:27" ht="12.75">
      <c r="A7" s="748" t="s">
        <v>161</v>
      </c>
      <c r="B7" s="749"/>
      <c r="C7" s="749"/>
      <c r="D7" s="776">
        <v>163047.99899999998</v>
      </c>
      <c r="E7" s="776">
        <v>167875.546</v>
      </c>
      <c r="F7" s="776">
        <v>172285.88999999998</v>
      </c>
      <c r="G7" s="776">
        <v>175148.343</v>
      </c>
      <c r="H7" s="776">
        <v>178268.269</v>
      </c>
      <c r="I7" s="777">
        <v>181751.17799999999</v>
      </c>
      <c r="J7" s="777">
        <v>185923.53100000002</v>
      </c>
      <c r="K7" s="777">
        <v>185482.25999999998</v>
      </c>
      <c r="L7" s="777">
        <v>190290.733</v>
      </c>
      <c r="M7" s="777">
        <v>195973.603</v>
      </c>
      <c r="N7" s="777">
        <v>200868.095</v>
      </c>
      <c r="O7" s="777">
        <v>205562.54299999998</v>
      </c>
      <c r="P7" s="777">
        <v>209647.198</v>
      </c>
      <c r="Q7" s="777">
        <v>212487.16499999995</v>
      </c>
      <c r="R7" s="777">
        <v>215900.56199999992</v>
      </c>
      <c r="S7" s="777">
        <v>220223.17399999994</v>
      </c>
      <c r="T7" s="777">
        <v>224455.127</v>
      </c>
      <c r="U7" s="777">
        <v>229536.38999999998</v>
      </c>
      <c r="V7" s="777">
        <v>233852.033</v>
      </c>
      <c r="W7" s="777">
        <v>236040.44099999996</v>
      </c>
      <c r="X7" s="776">
        <v>239086.9978529887</v>
      </c>
      <c r="Y7" s="776">
        <v>242241.13413408725</v>
      </c>
      <c r="Z7" s="764">
        <v>1.319242079001711</v>
      </c>
      <c r="AA7" s="748" t="s">
        <v>161</v>
      </c>
    </row>
    <row r="8" spans="1:27" ht="12.75">
      <c r="A8" s="750" t="s">
        <v>162</v>
      </c>
      <c r="B8" s="751">
        <v>62477.114</v>
      </c>
      <c r="C8" s="751">
        <v>104284.42300000001</v>
      </c>
      <c r="D8" s="778">
        <v>148040.61</v>
      </c>
      <c r="E8" s="778">
        <v>151510.096</v>
      </c>
      <c r="F8" s="778">
        <v>155037.316</v>
      </c>
      <c r="G8" s="778">
        <v>156868.47400000002</v>
      </c>
      <c r="H8" s="778">
        <v>159118.86299999998</v>
      </c>
      <c r="I8" s="779">
        <v>161538.931</v>
      </c>
      <c r="J8" s="779">
        <v>164596.276</v>
      </c>
      <c r="K8" s="779">
        <v>163008.656</v>
      </c>
      <c r="L8" s="779">
        <v>166938.63900000002</v>
      </c>
      <c r="M8" s="779">
        <v>171789.655</v>
      </c>
      <c r="N8" s="779">
        <v>175512.823</v>
      </c>
      <c r="O8" s="779">
        <v>179303.222</v>
      </c>
      <c r="P8" s="779">
        <v>182282.50599999996</v>
      </c>
      <c r="Q8" s="779">
        <v>184245.51099999997</v>
      </c>
      <c r="R8" s="779">
        <v>186466.39399999997</v>
      </c>
      <c r="S8" s="779">
        <v>189611.392</v>
      </c>
      <c r="T8" s="779">
        <v>192764.00299999997</v>
      </c>
      <c r="U8" s="779">
        <v>195932.20799999998</v>
      </c>
      <c r="V8" s="779">
        <v>197481.444</v>
      </c>
      <c r="W8" s="779">
        <v>198862.584</v>
      </c>
      <c r="X8" s="778">
        <v>201130.7238529887</v>
      </c>
      <c r="Y8" s="778">
        <v>203106.4671340873</v>
      </c>
      <c r="Z8" s="765">
        <v>0.9823179886443825</v>
      </c>
      <c r="AA8" s="750" t="s">
        <v>162</v>
      </c>
    </row>
    <row r="9" spans="1:27" ht="12.75">
      <c r="A9" s="752" t="s">
        <v>163</v>
      </c>
      <c r="B9" s="753"/>
      <c r="C9" s="753"/>
      <c r="D9" s="780">
        <v>15007.388999999996</v>
      </c>
      <c r="E9" s="781">
        <v>16365.450000000012</v>
      </c>
      <c r="F9" s="781">
        <v>17248.573999999993</v>
      </c>
      <c r="G9" s="781">
        <v>18279.868999999977</v>
      </c>
      <c r="H9" s="781">
        <v>19149.406000000017</v>
      </c>
      <c r="I9" s="781">
        <v>20212.246999999974</v>
      </c>
      <c r="J9" s="781">
        <v>21327.255000000005</v>
      </c>
      <c r="K9" s="781">
        <v>22473.603999999992</v>
      </c>
      <c r="L9" s="781">
        <v>23352.093999999983</v>
      </c>
      <c r="M9" s="781">
        <v>24183.948000000004</v>
      </c>
      <c r="N9" s="781">
        <v>25355.271999999997</v>
      </c>
      <c r="O9" s="781">
        <v>26259.320999999967</v>
      </c>
      <c r="P9" s="781">
        <v>27364.69200000004</v>
      </c>
      <c r="Q9" s="781">
        <v>28241.65399999998</v>
      </c>
      <c r="R9" s="781">
        <v>29434.167999999947</v>
      </c>
      <c r="S9" s="781">
        <v>30611.78199999995</v>
      </c>
      <c r="T9" s="781">
        <v>31691.12400000004</v>
      </c>
      <c r="U9" s="781">
        <v>33604.182</v>
      </c>
      <c r="V9" s="781">
        <v>36370.58900000001</v>
      </c>
      <c r="W9" s="781">
        <v>37177.85699999996</v>
      </c>
      <c r="X9" s="781">
        <v>37956.273999999976</v>
      </c>
      <c r="Y9" s="781">
        <v>39134.66699999996</v>
      </c>
      <c r="Z9" s="766">
        <v>3.1046066323580135</v>
      </c>
      <c r="AA9" s="752" t="s">
        <v>163</v>
      </c>
    </row>
    <row r="10" spans="1:27" ht="12.75">
      <c r="A10" s="494" t="s">
        <v>61</v>
      </c>
      <c r="B10" s="754">
        <v>2059.616</v>
      </c>
      <c r="C10" s="754">
        <v>3158.737</v>
      </c>
      <c r="D10" s="730">
        <v>3864.159</v>
      </c>
      <c r="E10" s="730">
        <v>3970</v>
      </c>
      <c r="F10" s="730">
        <v>4021</v>
      </c>
      <c r="G10" s="730">
        <v>4109.601</v>
      </c>
      <c r="H10" s="730">
        <v>4210.197</v>
      </c>
      <c r="I10" s="730">
        <v>4273.451</v>
      </c>
      <c r="J10" s="730">
        <v>4339.231</v>
      </c>
      <c r="K10" s="730">
        <v>4415.343</v>
      </c>
      <c r="L10" s="730">
        <v>4491.734</v>
      </c>
      <c r="M10" s="730">
        <v>4583.615</v>
      </c>
      <c r="N10" s="730">
        <v>4678.376</v>
      </c>
      <c r="O10" s="730">
        <v>4739.85</v>
      </c>
      <c r="P10" s="730">
        <v>4787.359</v>
      </c>
      <c r="Q10" s="730">
        <v>4820.868</v>
      </c>
      <c r="R10" s="730">
        <v>4874.426</v>
      </c>
      <c r="S10" s="730">
        <v>4918.544</v>
      </c>
      <c r="T10" s="730">
        <v>4976.286</v>
      </c>
      <c r="U10" s="730">
        <v>5048.723</v>
      </c>
      <c r="V10" s="730">
        <v>5130.578</v>
      </c>
      <c r="W10" s="730">
        <v>5192.566</v>
      </c>
      <c r="X10" s="730">
        <v>5276.283</v>
      </c>
      <c r="Y10" s="730">
        <v>5407</v>
      </c>
      <c r="Z10" s="742">
        <v>2.477444822425184</v>
      </c>
      <c r="AA10" s="494" t="s">
        <v>61</v>
      </c>
    </row>
    <row r="11" spans="1:27" ht="12.75">
      <c r="A11" s="750" t="s">
        <v>102</v>
      </c>
      <c r="B11" s="755">
        <v>160</v>
      </c>
      <c r="C11" s="755">
        <v>820</v>
      </c>
      <c r="D11" s="756">
        <v>1317.4</v>
      </c>
      <c r="E11" s="756">
        <v>1359</v>
      </c>
      <c r="F11" s="756">
        <v>1411.3</v>
      </c>
      <c r="G11" s="756">
        <v>1505.451</v>
      </c>
      <c r="H11" s="756">
        <v>1587.873</v>
      </c>
      <c r="I11" s="756">
        <v>1647.571</v>
      </c>
      <c r="J11" s="756">
        <v>1707.023</v>
      </c>
      <c r="K11" s="756">
        <v>1730.506</v>
      </c>
      <c r="L11" s="756">
        <v>1809.35</v>
      </c>
      <c r="M11" s="756">
        <v>1908.4</v>
      </c>
      <c r="N11" s="756">
        <v>1992.7</v>
      </c>
      <c r="O11" s="756">
        <v>2085.7</v>
      </c>
      <c r="P11" s="756">
        <v>2174.1</v>
      </c>
      <c r="Q11" s="756">
        <v>2309.3</v>
      </c>
      <c r="R11" s="756">
        <v>2438.4</v>
      </c>
      <c r="S11" s="758">
        <v>2538.092</v>
      </c>
      <c r="T11" s="756">
        <v>1767.742</v>
      </c>
      <c r="U11" s="756">
        <v>2081.517</v>
      </c>
      <c r="V11" s="756">
        <v>2366.196</v>
      </c>
      <c r="W11" s="756">
        <v>2502</v>
      </c>
      <c r="X11" s="756">
        <v>2602.4</v>
      </c>
      <c r="Y11" s="756">
        <v>2695</v>
      </c>
      <c r="Z11" s="775">
        <v>3.558253919458963</v>
      </c>
      <c r="AA11" s="750" t="s">
        <v>102</v>
      </c>
    </row>
    <row r="12" spans="1:27" ht="12.75">
      <c r="A12" s="494" t="s">
        <v>62</v>
      </c>
      <c r="B12" s="754">
        <v>685</v>
      </c>
      <c r="C12" s="754">
        <v>1780</v>
      </c>
      <c r="D12" s="730">
        <v>2410</v>
      </c>
      <c r="E12" s="730">
        <v>2480</v>
      </c>
      <c r="F12" s="730">
        <v>2580</v>
      </c>
      <c r="G12" s="730">
        <v>2833.143</v>
      </c>
      <c r="H12" s="730">
        <v>2923.916</v>
      </c>
      <c r="I12" s="730">
        <v>3043.316</v>
      </c>
      <c r="J12" s="730">
        <v>3192.532</v>
      </c>
      <c r="K12" s="730">
        <v>3391.541</v>
      </c>
      <c r="L12" s="730">
        <v>3492.961</v>
      </c>
      <c r="M12" s="730">
        <v>3439.745</v>
      </c>
      <c r="N12" s="730">
        <v>3438.87</v>
      </c>
      <c r="O12" s="730">
        <v>3529.791</v>
      </c>
      <c r="P12" s="730">
        <v>3647.067</v>
      </c>
      <c r="Q12" s="730">
        <v>3706.012</v>
      </c>
      <c r="R12" s="730">
        <v>3815.547</v>
      </c>
      <c r="S12" s="730">
        <v>3958.708</v>
      </c>
      <c r="T12" s="730">
        <v>4108.61</v>
      </c>
      <c r="U12" s="730">
        <v>4280.081</v>
      </c>
      <c r="V12" s="730">
        <v>4423.37</v>
      </c>
      <c r="W12" s="730">
        <v>4435.052</v>
      </c>
      <c r="X12" s="730">
        <v>4496.232</v>
      </c>
      <c r="Y12" s="730">
        <v>4581.642</v>
      </c>
      <c r="Z12" s="743">
        <v>1.8995905905211146</v>
      </c>
      <c r="AA12" s="494" t="s">
        <v>62</v>
      </c>
    </row>
    <row r="13" spans="1:27" ht="12.75">
      <c r="A13" s="750" t="s">
        <v>14</v>
      </c>
      <c r="B13" s="755">
        <v>1076.875</v>
      </c>
      <c r="C13" s="755">
        <v>1390</v>
      </c>
      <c r="D13" s="756">
        <v>1590</v>
      </c>
      <c r="E13" s="756">
        <v>1594</v>
      </c>
      <c r="F13" s="756">
        <v>1604.053</v>
      </c>
      <c r="G13" s="756">
        <v>1617.734</v>
      </c>
      <c r="H13" s="756">
        <v>1611.191</v>
      </c>
      <c r="I13" s="756">
        <v>1679.007</v>
      </c>
      <c r="J13" s="756">
        <v>1738.854</v>
      </c>
      <c r="K13" s="756">
        <v>1783.098</v>
      </c>
      <c r="L13" s="756">
        <v>1817.147</v>
      </c>
      <c r="M13" s="756">
        <v>1843.254</v>
      </c>
      <c r="N13" s="756">
        <v>1854.06</v>
      </c>
      <c r="O13" s="756">
        <v>1872.631</v>
      </c>
      <c r="P13" s="756">
        <v>1888.29</v>
      </c>
      <c r="Q13" s="756">
        <v>1894.649</v>
      </c>
      <c r="R13" s="756">
        <v>1915.821</v>
      </c>
      <c r="S13" s="756">
        <v>1964.682</v>
      </c>
      <c r="T13" s="756">
        <v>2020.013</v>
      </c>
      <c r="U13" s="756">
        <v>2068.493</v>
      </c>
      <c r="V13" s="756">
        <v>2099.09</v>
      </c>
      <c r="W13" s="756">
        <v>2120.322</v>
      </c>
      <c r="X13" s="756">
        <v>2163.675</v>
      </c>
      <c r="Y13" s="756">
        <v>2197.831</v>
      </c>
      <c r="Z13" s="775">
        <v>1.5786104659895699</v>
      </c>
      <c r="AA13" s="750" t="s">
        <v>14</v>
      </c>
    </row>
    <row r="14" spans="1:27" ht="12.75">
      <c r="A14" s="494" t="s">
        <v>64</v>
      </c>
      <c r="B14" s="754">
        <v>15107.079</v>
      </c>
      <c r="C14" s="754">
        <v>25869.616000000005</v>
      </c>
      <c r="D14" s="730">
        <v>36772</v>
      </c>
      <c r="E14" s="730">
        <v>37947</v>
      </c>
      <c r="F14" s="730">
        <v>38892</v>
      </c>
      <c r="G14" s="730">
        <v>39202.066</v>
      </c>
      <c r="H14" s="730">
        <v>39917.577</v>
      </c>
      <c r="I14" s="730">
        <v>40499.442</v>
      </c>
      <c r="J14" s="757">
        <v>41045.217</v>
      </c>
      <c r="K14" s="730">
        <v>36924.647</v>
      </c>
      <c r="L14" s="730">
        <v>37553.549</v>
      </c>
      <c r="M14" s="730">
        <v>38426.776</v>
      </c>
      <c r="N14" s="730">
        <v>39058.937</v>
      </c>
      <c r="O14" s="730">
        <v>39388.319</v>
      </c>
      <c r="P14" s="730">
        <v>39720.951</v>
      </c>
      <c r="Q14" s="730">
        <v>40017.482</v>
      </c>
      <c r="R14" s="730">
        <v>40179.477</v>
      </c>
      <c r="S14" s="730">
        <v>40659.5</v>
      </c>
      <c r="T14" s="730">
        <v>41019.7</v>
      </c>
      <c r="U14" s="730">
        <v>41183.594</v>
      </c>
      <c r="V14" s="730">
        <v>41321.171</v>
      </c>
      <c r="W14" s="730">
        <v>41737.627</v>
      </c>
      <c r="X14" s="730">
        <v>42301.563</v>
      </c>
      <c r="Y14" s="730">
        <v>42928</v>
      </c>
      <c r="Z14" s="743">
        <v>1.4808838150968597</v>
      </c>
      <c r="AA14" s="494" t="s">
        <v>64</v>
      </c>
    </row>
    <row r="15" spans="1:27" ht="12.75">
      <c r="A15" s="750" t="s">
        <v>65</v>
      </c>
      <c r="B15" s="755">
        <v>30</v>
      </c>
      <c r="C15" s="755">
        <v>127</v>
      </c>
      <c r="D15" s="756">
        <v>241</v>
      </c>
      <c r="E15" s="756">
        <v>261</v>
      </c>
      <c r="F15" s="756">
        <v>284</v>
      </c>
      <c r="G15" s="756">
        <v>317.425</v>
      </c>
      <c r="H15" s="756">
        <v>337.812</v>
      </c>
      <c r="I15" s="756">
        <v>383.444</v>
      </c>
      <c r="J15" s="756">
        <v>406.598</v>
      </c>
      <c r="K15" s="756">
        <v>427.678</v>
      </c>
      <c r="L15" s="756">
        <v>450.954</v>
      </c>
      <c r="M15" s="756">
        <v>458.7</v>
      </c>
      <c r="N15" s="756">
        <v>463.9</v>
      </c>
      <c r="O15" s="756">
        <v>407.3</v>
      </c>
      <c r="P15" s="756">
        <v>400.7</v>
      </c>
      <c r="Q15" s="756">
        <v>434</v>
      </c>
      <c r="R15" s="756">
        <v>471.2</v>
      </c>
      <c r="S15" s="756">
        <v>493.78</v>
      </c>
      <c r="T15" s="758">
        <v>554.012</v>
      </c>
      <c r="U15" s="756">
        <v>523.766</v>
      </c>
      <c r="V15" s="756">
        <v>551.83</v>
      </c>
      <c r="W15" s="756">
        <v>545.7</v>
      </c>
      <c r="X15" s="756">
        <v>552.7</v>
      </c>
      <c r="Y15" s="756">
        <v>574</v>
      </c>
      <c r="Z15" s="775">
        <v>3.853808576081036</v>
      </c>
      <c r="AA15" s="750" t="s">
        <v>65</v>
      </c>
    </row>
    <row r="16" spans="1:27" ht="12.75">
      <c r="A16" s="494" t="s">
        <v>69</v>
      </c>
      <c r="B16" s="754">
        <v>393.459</v>
      </c>
      <c r="C16" s="754">
        <v>738.114</v>
      </c>
      <c r="D16" s="730">
        <v>801.385</v>
      </c>
      <c r="E16" s="730">
        <v>841.946</v>
      </c>
      <c r="F16" s="730">
        <v>864.2090000000001</v>
      </c>
      <c r="G16" s="730">
        <v>897.171</v>
      </c>
      <c r="H16" s="730">
        <v>945.947</v>
      </c>
      <c r="I16" s="730">
        <v>998.47</v>
      </c>
      <c r="J16" s="730">
        <v>1066.602</v>
      </c>
      <c r="K16" s="730">
        <v>1144.769</v>
      </c>
      <c r="L16" s="730">
        <v>1208.15</v>
      </c>
      <c r="M16" s="730">
        <v>1282.321</v>
      </c>
      <c r="N16" s="730">
        <v>1332.887</v>
      </c>
      <c r="O16" s="730">
        <v>1401.251</v>
      </c>
      <c r="P16" s="730">
        <v>1466.1599999999999</v>
      </c>
      <c r="Q16" s="730">
        <v>1526.962</v>
      </c>
      <c r="R16" s="730">
        <v>1603.577</v>
      </c>
      <c r="S16" s="730">
        <v>1684.0449999999998</v>
      </c>
      <c r="T16" s="730">
        <v>1802.1450000000002</v>
      </c>
      <c r="U16" s="730">
        <v>1909.555</v>
      </c>
      <c r="V16" s="730">
        <v>1953.334</v>
      </c>
      <c r="W16" s="730">
        <v>1930.7130000000002</v>
      </c>
      <c r="X16" s="730">
        <v>1899.395</v>
      </c>
      <c r="Y16" s="782">
        <v>1912.9389999999999</v>
      </c>
      <c r="Z16" s="739">
        <v>0.7130691614961648</v>
      </c>
      <c r="AA16" s="494" t="s">
        <v>69</v>
      </c>
    </row>
    <row r="17" spans="1:27" ht="12.75">
      <c r="A17" s="750" t="s">
        <v>15</v>
      </c>
      <c r="B17" s="755">
        <v>226.893</v>
      </c>
      <c r="C17" s="755">
        <v>862.609</v>
      </c>
      <c r="D17" s="756">
        <v>1735.523</v>
      </c>
      <c r="E17" s="756">
        <v>1777.484</v>
      </c>
      <c r="F17" s="756">
        <v>1829.1</v>
      </c>
      <c r="G17" s="756">
        <v>1958.544</v>
      </c>
      <c r="H17" s="756">
        <v>2074.081</v>
      </c>
      <c r="I17" s="756">
        <v>2204.761</v>
      </c>
      <c r="J17" s="756">
        <v>2339.421</v>
      </c>
      <c r="K17" s="756">
        <v>2500.099</v>
      </c>
      <c r="L17" s="756">
        <v>2675.676</v>
      </c>
      <c r="M17" s="756">
        <v>2928.881</v>
      </c>
      <c r="N17" s="756">
        <v>3195.065</v>
      </c>
      <c r="O17" s="756">
        <v>3423.704</v>
      </c>
      <c r="P17" s="756">
        <v>3646.069</v>
      </c>
      <c r="Q17" s="756">
        <v>3839.549</v>
      </c>
      <c r="R17" s="756">
        <v>4073.511</v>
      </c>
      <c r="S17" s="756">
        <v>4303.129</v>
      </c>
      <c r="T17" s="756">
        <v>4543.016</v>
      </c>
      <c r="U17" s="756">
        <v>4798.53</v>
      </c>
      <c r="V17" s="756">
        <v>5023.944</v>
      </c>
      <c r="W17" s="756">
        <v>5131.96</v>
      </c>
      <c r="X17" s="756">
        <v>5216.873</v>
      </c>
      <c r="Y17" s="783">
        <v>5203.591</v>
      </c>
      <c r="Z17" s="767">
        <v>-0.25459695875285604</v>
      </c>
      <c r="AA17" s="750" t="s">
        <v>15</v>
      </c>
    </row>
    <row r="18" spans="1:27" ht="12.75">
      <c r="A18" s="494" t="s">
        <v>67</v>
      </c>
      <c r="B18" s="754">
        <v>2378</v>
      </c>
      <c r="C18" s="754">
        <v>7556.511</v>
      </c>
      <c r="D18" s="730">
        <v>11995.64</v>
      </c>
      <c r="E18" s="730">
        <v>12537.099</v>
      </c>
      <c r="F18" s="730">
        <v>13102.285</v>
      </c>
      <c r="G18" s="730">
        <v>13440.694</v>
      </c>
      <c r="H18" s="730">
        <v>13733.794</v>
      </c>
      <c r="I18" s="730">
        <v>14212.259</v>
      </c>
      <c r="J18" s="730">
        <v>14753.809</v>
      </c>
      <c r="K18" s="730">
        <v>15297.366</v>
      </c>
      <c r="L18" s="730">
        <v>16050.057</v>
      </c>
      <c r="M18" s="730">
        <v>16847.397</v>
      </c>
      <c r="N18" s="730">
        <v>17449.235</v>
      </c>
      <c r="O18" s="730">
        <v>18150.88</v>
      </c>
      <c r="P18" s="757">
        <v>18732.632</v>
      </c>
      <c r="Q18" s="730">
        <v>18688.32</v>
      </c>
      <c r="R18" s="730">
        <v>19541.918</v>
      </c>
      <c r="S18" s="730">
        <v>20250.377</v>
      </c>
      <c r="T18" s="730">
        <v>20908.725</v>
      </c>
      <c r="U18" s="730">
        <v>21760.174</v>
      </c>
      <c r="V18" s="730">
        <v>22145.364</v>
      </c>
      <c r="W18" s="730">
        <v>21983.485</v>
      </c>
      <c r="X18" s="730">
        <v>22147.455</v>
      </c>
      <c r="Y18" s="782">
        <v>22277</v>
      </c>
      <c r="Z18" s="739">
        <v>0.5849204795765388</v>
      </c>
      <c r="AA18" s="494" t="s">
        <v>67</v>
      </c>
    </row>
    <row r="19" spans="1:27" ht="12.75">
      <c r="A19" s="750" t="s">
        <v>68</v>
      </c>
      <c r="B19" s="755">
        <v>11900</v>
      </c>
      <c r="C19" s="755">
        <v>19100</v>
      </c>
      <c r="D19" s="756">
        <v>27071.642</v>
      </c>
      <c r="E19" s="756">
        <v>27309.644</v>
      </c>
      <c r="F19" s="756">
        <v>27596.041</v>
      </c>
      <c r="G19" s="756">
        <v>27680.285</v>
      </c>
      <c r="H19" s="756">
        <v>27761.922</v>
      </c>
      <c r="I19" s="756">
        <v>27872.067</v>
      </c>
      <c r="J19" s="756">
        <v>28017.221</v>
      </c>
      <c r="K19" s="756">
        <v>28201.321</v>
      </c>
      <c r="L19" s="756">
        <v>28627.36</v>
      </c>
      <c r="M19" s="756">
        <v>29272.165</v>
      </c>
      <c r="N19" s="756">
        <v>29807.799</v>
      </c>
      <c r="O19" s="756">
        <v>30330.382</v>
      </c>
      <c r="P19" s="756">
        <v>30590.743</v>
      </c>
      <c r="Q19" s="756">
        <v>30582.717</v>
      </c>
      <c r="R19" s="756">
        <v>30537.244</v>
      </c>
      <c r="S19" s="756">
        <v>30497.013</v>
      </c>
      <c r="T19" s="756">
        <v>31002.304</v>
      </c>
      <c r="U19" s="756">
        <v>31442.88</v>
      </c>
      <c r="V19" s="756">
        <v>31109.081</v>
      </c>
      <c r="W19" s="756">
        <v>31393.734</v>
      </c>
      <c r="X19" s="793">
        <v>31621.959852988693</v>
      </c>
      <c r="Y19" s="784">
        <v>31875.544134087242</v>
      </c>
      <c r="Z19" s="768">
        <v>0.8019246190858098</v>
      </c>
      <c r="AA19" s="750" t="s">
        <v>68</v>
      </c>
    </row>
    <row r="20" spans="1:27" ht="12.75">
      <c r="A20" s="494" t="s">
        <v>70</v>
      </c>
      <c r="B20" s="754">
        <v>10181.192</v>
      </c>
      <c r="C20" s="754">
        <v>17686.236</v>
      </c>
      <c r="D20" s="730">
        <v>27415.828</v>
      </c>
      <c r="E20" s="730">
        <v>28434.923</v>
      </c>
      <c r="F20" s="730">
        <v>29429.628</v>
      </c>
      <c r="G20" s="730">
        <v>29652.024</v>
      </c>
      <c r="H20" s="730">
        <v>29665.308</v>
      </c>
      <c r="I20" s="730">
        <v>30301.424</v>
      </c>
      <c r="J20" s="730">
        <v>30467.173</v>
      </c>
      <c r="K20" s="730">
        <v>30741.953</v>
      </c>
      <c r="L20" s="730">
        <v>31370.765</v>
      </c>
      <c r="M20" s="730">
        <v>32038.291</v>
      </c>
      <c r="N20" s="730">
        <v>32583.815</v>
      </c>
      <c r="O20" s="730">
        <v>33239.029</v>
      </c>
      <c r="P20" s="730">
        <v>33706.153</v>
      </c>
      <c r="Q20" s="730">
        <v>34310.446</v>
      </c>
      <c r="R20" s="730">
        <v>33973.147</v>
      </c>
      <c r="S20" s="730">
        <v>34667.485</v>
      </c>
      <c r="T20" s="730">
        <v>35297.282</v>
      </c>
      <c r="U20" s="730">
        <v>35680.097</v>
      </c>
      <c r="V20" s="730">
        <v>36105.183</v>
      </c>
      <c r="W20" s="730">
        <v>36372</v>
      </c>
      <c r="X20" s="730">
        <v>36751</v>
      </c>
      <c r="Y20" s="782">
        <v>37113</v>
      </c>
      <c r="Z20" s="739">
        <v>0.9850072106881527</v>
      </c>
      <c r="AA20" s="494" t="s">
        <v>70</v>
      </c>
    </row>
    <row r="21" spans="1:27" ht="12.75">
      <c r="A21" s="750" t="s">
        <v>72</v>
      </c>
      <c r="B21" s="755">
        <v>60</v>
      </c>
      <c r="C21" s="755">
        <v>90</v>
      </c>
      <c r="D21" s="756">
        <v>178.602</v>
      </c>
      <c r="E21" s="756">
        <v>190</v>
      </c>
      <c r="F21" s="756">
        <v>200</v>
      </c>
      <c r="G21" s="756">
        <v>203.61</v>
      </c>
      <c r="H21" s="756">
        <v>210.365</v>
      </c>
      <c r="I21" s="756">
        <v>219.749</v>
      </c>
      <c r="J21" s="756">
        <v>226.832</v>
      </c>
      <c r="K21" s="756">
        <v>234.976</v>
      </c>
      <c r="L21" s="756">
        <v>249.225</v>
      </c>
      <c r="M21" s="756">
        <v>256.989</v>
      </c>
      <c r="N21" s="756">
        <v>267.589</v>
      </c>
      <c r="O21" s="758">
        <v>280.069</v>
      </c>
      <c r="P21" s="756">
        <v>287.622</v>
      </c>
      <c r="Q21" s="756">
        <v>302.501</v>
      </c>
      <c r="R21" s="756">
        <v>335.634</v>
      </c>
      <c r="S21" s="756">
        <v>355.134</v>
      </c>
      <c r="T21" s="756">
        <v>372.945</v>
      </c>
      <c r="U21" s="756">
        <v>410.936</v>
      </c>
      <c r="V21" s="756">
        <v>443.517</v>
      </c>
      <c r="W21" s="756">
        <v>460.504</v>
      </c>
      <c r="X21" s="756">
        <v>462.652</v>
      </c>
      <c r="Y21" s="783">
        <v>470</v>
      </c>
      <c r="Z21" s="767">
        <v>1.5882347855407488</v>
      </c>
      <c r="AA21" s="750" t="s">
        <v>72</v>
      </c>
    </row>
    <row r="22" spans="1:27" ht="12.75">
      <c r="A22" s="494" t="s">
        <v>73</v>
      </c>
      <c r="B22" s="754">
        <v>40</v>
      </c>
      <c r="C22" s="754">
        <v>166</v>
      </c>
      <c r="D22" s="730">
        <v>283</v>
      </c>
      <c r="E22" s="730">
        <v>329</v>
      </c>
      <c r="F22" s="730">
        <v>350</v>
      </c>
      <c r="G22" s="757">
        <v>367.475</v>
      </c>
      <c r="H22" s="730">
        <v>251.593</v>
      </c>
      <c r="I22" s="730">
        <v>332</v>
      </c>
      <c r="J22" s="730">
        <v>379.895</v>
      </c>
      <c r="K22" s="730">
        <v>431.816</v>
      </c>
      <c r="L22" s="730">
        <v>482.67</v>
      </c>
      <c r="M22" s="730">
        <v>525.572</v>
      </c>
      <c r="N22" s="730">
        <v>556.8</v>
      </c>
      <c r="O22" s="730">
        <v>586.2</v>
      </c>
      <c r="P22" s="730">
        <v>619.1</v>
      </c>
      <c r="Q22" s="730">
        <v>648.9</v>
      </c>
      <c r="R22" s="730">
        <v>686.128</v>
      </c>
      <c r="S22" s="730">
        <v>742.447</v>
      </c>
      <c r="T22" s="730">
        <v>822.011</v>
      </c>
      <c r="U22" s="730">
        <v>904.869</v>
      </c>
      <c r="V22" s="730">
        <v>932.828</v>
      </c>
      <c r="W22" s="730">
        <v>904.308</v>
      </c>
      <c r="X22" s="794">
        <v>636.664</v>
      </c>
      <c r="Y22" s="782">
        <v>612.32</v>
      </c>
      <c r="Z22" s="739">
        <v>-3.8236809368835054</v>
      </c>
      <c r="AA22" s="494" t="s">
        <v>73</v>
      </c>
    </row>
    <row r="23" spans="1:27" ht="12.75">
      <c r="A23" s="750" t="s">
        <v>74</v>
      </c>
      <c r="B23" s="755">
        <v>43.7</v>
      </c>
      <c r="C23" s="755">
        <v>247</v>
      </c>
      <c r="D23" s="756">
        <v>493</v>
      </c>
      <c r="E23" s="756">
        <v>531</v>
      </c>
      <c r="F23" s="756">
        <v>565</v>
      </c>
      <c r="G23" s="756">
        <v>597.735</v>
      </c>
      <c r="H23" s="756">
        <v>652.81</v>
      </c>
      <c r="I23" s="756">
        <v>718.469</v>
      </c>
      <c r="J23" s="756">
        <v>785.088</v>
      </c>
      <c r="K23" s="756">
        <v>882.101</v>
      </c>
      <c r="L23" s="756">
        <v>980.91</v>
      </c>
      <c r="M23" s="756">
        <v>1089.334</v>
      </c>
      <c r="N23" s="756">
        <v>1172.394</v>
      </c>
      <c r="O23" s="756">
        <v>1133.477</v>
      </c>
      <c r="P23" s="756">
        <v>1180.945</v>
      </c>
      <c r="Q23" s="756">
        <v>1256.853</v>
      </c>
      <c r="R23" s="756">
        <v>1315.914</v>
      </c>
      <c r="S23" s="756">
        <v>1455.276</v>
      </c>
      <c r="T23" s="756">
        <v>1592.238</v>
      </c>
      <c r="U23" s="756">
        <v>1587.903</v>
      </c>
      <c r="V23" s="756">
        <v>1671.065</v>
      </c>
      <c r="W23" s="756">
        <v>1695.286</v>
      </c>
      <c r="X23" s="756">
        <v>1691.855</v>
      </c>
      <c r="Y23" s="783">
        <v>1713.3</v>
      </c>
      <c r="Z23" s="767">
        <v>1.2675436133711173</v>
      </c>
      <c r="AA23" s="750" t="s">
        <v>74</v>
      </c>
    </row>
    <row r="24" spans="1:27" ht="12.75">
      <c r="A24" s="494" t="s">
        <v>77</v>
      </c>
      <c r="B24" s="754">
        <v>72</v>
      </c>
      <c r="C24" s="754">
        <v>128.6</v>
      </c>
      <c r="D24" s="730">
        <v>183.404</v>
      </c>
      <c r="E24" s="730">
        <v>192</v>
      </c>
      <c r="F24" s="730">
        <v>201</v>
      </c>
      <c r="G24" s="730">
        <v>208</v>
      </c>
      <c r="H24" s="730">
        <v>217.754</v>
      </c>
      <c r="I24" s="730">
        <v>229.037</v>
      </c>
      <c r="J24" s="730">
        <v>231.666</v>
      </c>
      <c r="K24" s="730">
        <v>236.834</v>
      </c>
      <c r="L24" s="730">
        <v>253.406</v>
      </c>
      <c r="M24" s="730">
        <v>263.475</v>
      </c>
      <c r="N24" s="730">
        <v>273.086</v>
      </c>
      <c r="O24" s="730">
        <v>280.709</v>
      </c>
      <c r="P24" s="730">
        <v>287.245</v>
      </c>
      <c r="Q24" s="730">
        <v>293.398</v>
      </c>
      <c r="R24" s="730">
        <v>299.759</v>
      </c>
      <c r="S24" s="730">
        <v>307.26500000000004</v>
      </c>
      <c r="T24" s="730">
        <v>314.71799999999996</v>
      </c>
      <c r="U24" s="730">
        <v>321.53799999999995</v>
      </c>
      <c r="V24" s="730">
        <v>329.048</v>
      </c>
      <c r="W24" s="730">
        <v>331.513</v>
      </c>
      <c r="X24" s="730">
        <v>337.251</v>
      </c>
      <c r="Y24" s="782">
        <v>345.57500000000005</v>
      </c>
      <c r="Z24" s="739">
        <v>2.468191347097587</v>
      </c>
      <c r="AA24" s="494" t="s">
        <v>77</v>
      </c>
    </row>
    <row r="25" spans="1:27" ht="12.75">
      <c r="A25" s="750" t="s">
        <v>78</v>
      </c>
      <c r="B25" s="755">
        <v>240</v>
      </c>
      <c r="C25" s="755">
        <v>1010</v>
      </c>
      <c r="D25" s="756">
        <v>1944</v>
      </c>
      <c r="E25" s="756">
        <v>2020</v>
      </c>
      <c r="F25" s="756">
        <v>2058</v>
      </c>
      <c r="G25" s="756">
        <v>2093.529</v>
      </c>
      <c r="H25" s="756">
        <v>2178.891</v>
      </c>
      <c r="I25" s="756">
        <v>2244.946</v>
      </c>
      <c r="J25" s="756">
        <v>2265.18</v>
      </c>
      <c r="K25" s="756">
        <v>2297.964</v>
      </c>
      <c r="L25" s="756">
        <v>2218.124</v>
      </c>
      <c r="M25" s="756">
        <v>2255.526</v>
      </c>
      <c r="N25" s="756">
        <v>2364.706</v>
      </c>
      <c r="O25" s="756">
        <v>2482.827</v>
      </c>
      <c r="P25" s="756">
        <v>2629.526</v>
      </c>
      <c r="Q25" s="756">
        <v>2777.219</v>
      </c>
      <c r="R25" s="756">
        <v>2828.433</v>
      </c>
      <c r="S25" s="756">
        <v>2888.735</v>
      </c>
      <c r="T25" s="756">
        <v>2953.737</v>
      </c>
      <c r="U25" s="756">
        <v>3012.165</v>
      </c>
      <c r="V25" s="756">
        <v>3055.427</v>
      </c>
      <c r="W25" s="756">
        <v>3013.719</v>
      </c>
      <c r="X25" s="756">
        <v>2984.063</v>
      </c>
      <c r="Y25" s="783">
        <v>2967.808</v>
      </c>
      <c r="Z25" s="767">
        <v>-0.5447271052923526</v>
      </c>
      <c r="AA25" s="750" t="s">
        <v>78</v>
      </c>
    </row>
    <row r="26" spans="1:27" ht="12.75">
      <c r="A26" s="494" t="s">
        <v>79</v>
      </c>
      <c r="B26" s="754" t="s">
        <v>100</v>
      </c>
      <c r="C26" s="754" t="s">
        <v>100</v>
      </c>
      <c r="D26" s="731">
        <v>120</v>
      </c>
      <c r="E26" s="730">
        <v>122</v>
      </c>
      <c r="F26" s="730">
        <v>125</v>
      </c>
      <c r="G26" s="730">
        <v>152.613</v>
      </c>
      <c r="H26" s="730">
        <v>170.635</v>
      </c>
      <c r="I26" s="730">
        <v>180.851</v>
      </c>
      <c r="J26" s="730">
        <v>182</v>
      </c>
      <c r="K26" s="757">
        <v>183.774</v>
      </c>
      <c r="L26" s="730">
        <v>174.786</v>
      </c>
      <c r="M26" s="730">
        <v>182.252</v>
      </c>
      <c r="N26" s="730">
        <v>189.123</v>
      </c>
      <c r="O26" s="730">
        <v>195.37900000000002</v>
      </c>
      <c r="P26" s="730">
        <v>201.92100000000002</v>
      </c>
      <c r="Q26" s="730">
        <v>208.812</v>
      </c>
      <c r="R26" s="730">
        <v>211.383</v>
      </c>
      <c r="S26" s="730">
        <v>212.561</v>
      </c>
      <c r="T26" s="730">
        <v>218.15300000000002</v>
      </c>
      <c r="U26" s="730">
        <v>224.896</v>
      </c>
      <c r="V26" s="730">
        <v>229.38899999999998</v>
      </c>
      <c r="W26" s="730">
        <v>233.48600000000002</v>
      </c>
      <c r="X26" s="730">
        <v>239.496</v>
      </c>
      <c r="Y26" s="782">
        <v>245.26000000000002</v>
      </c>
      <c r="Z26" s="739">
        <v>2.4067207803053066</v>
      </c>
      <c r="AA26" s="494" t="s">
        <v>79</v>
      </c>
    </row>
    <row r="27" spans="1:27" ht="12.75">
      <c r="A27" s="750" t="s">
        <v>16</v>
      </c>
      <c r="B27" s="755">
        <v>2564</v>
      </c>
      <c r="C27" s="755">
        <v>4550</v>
      </c>
      <c r="D27" s="756">
        <v>5509.173</v>
      </c>
      <c r="E27" s="756">
        <v>5554</v>
      </c>
      <c r="F27" s="756">
        <v>5658</v>
      </c>
      <c r="G27" s="756">
        <v>5755</v>
      </c>
      <c r="H27" s="756">
        <v>5884</v>
      </c>
      <c r="I27" s="756">
        <v>5633</v>
      </c>
      <c r="J27" s="756">
        <v>5740</v>
      </c>
      <c r="K27" s="756">
        <v>5931.387</v>
      </c>
      <c r="L27" s="756">
        <v>6119.581</v>
      </c>
      <c r="M27" s="756">
        <v>6343.195</v>
      </c>
      <c r="N27" s="756">
        <v>6539.212</v>
      </c>
      <c r="O27" s="756">
        <v>6710.602</v>
      </c>
      <c r="P27" s="756">
        <v>6854.743</v>
      </c>
      <c r="Q27" s="756">
        <v>6908.473</v>
      </c>
      <c r="R27" s="756">
        <v>6991.991</v>
      </c>
      <c r="S27" s="756">
        <v>7092.293</v>
      </c>
      <c r="T27" s="756">
        <v>7230.178</v>
      </c>
      <c r="U27" s="756">
        <v>7391.903</v>
      </c>
      <c r="V27" s="756">
        <v>7542.331</v>
      </c>
      <c r="W27" s="756">
        <v>7622</v>
      </c>
      <c r="X27" s="756">
        <v>7736</v>
      </c>
      <c r="Y27" s="783">
        <v>7859</v>
      </c>
      <c r="Z27" s="767">
        <v>1.5899689762151041</v>
      </c>
      <c r="AA27" s="750" t="s">
        <v>16</v>
      </c>
    </row>
    <row r="28" spans="1:27" ht="12.75">
      <c r="A28" s="494" t="s">
        <v>82</v>
      </c>
      <c r="B28" s="754">
        <v>1197</v>
      </c>
      <c r="C28" s="754">
        <v>2247</v>
      </c>
      <c r="D28" s="730">
        <v>2991</v>
      </c>
      <c r="E28" s="730">
        <v>3100</v>
      </c>
      <c r="F28" s="730">
        <v>3245</v>
      </c>
      <c r="G28" s="730">
        <v>3367.626</v>
      </c>
      <c r="H28" s="730">
        <v>3479.595</v>
      </c>
      <c r="I28" s="730">
        <v>3593.588</v>
      </c>
      <c r="J28" s="730">
        <v>3690.692</v>
      </c>
      <c r="K28" s="730">
        <v>3782.543</v>
      </c>
      <c r="L28" s="730">
        <v>3887.174</v>
      </c>
      <c r="M28" s="730">
        <v>4009.604</v>
      </c>
      <c r="N28" s="730">
        <v>4097.145</v>
      </c>
      <c r="O28" s="757">
        <v>4182.027</v>
      </c>
      <c r="P28" s="730">
        <v>3987.093</v>
      </c>
      <c r="Q28" s="730">
        <v>4054.308</v>
      </c>
      <c r="R28" s="730">
        <v>4109.129</v>
      </c>
      <c r="S28" s="730">
        <v>4156.743</v>
      </c>
      <c r="T28" s="730">
        <v>4204.969</v>
      </c>
      <c r="U28" s="730">
        <v>4245.583</v>
      </c>
      <c r="V28" s="730">
        <v>4284.919</v>
      </c>
      <c r="W28" s="730">
        <v>4359.944</v>
      </c>
      <c r="X28" s="730">
        <v>4441.027</v>
      </c>
      <c r="Y28" s="782">
        <v>4513.421</v>
      </c>
      <c r="Z28" s="739">
        <v>1.630118438820574</v>
      </c>
      <c r="AA28" s="494" t="s">
        <v>82</v>
      </c>
    </row>
    <row r="29" spans="1:27" ht="12.75">
      <c r="A29" s="750" t="s">
        <v>81</v>
      </c>
      <c r="B29" s="755">
        <v>479</v>
      </c>
      <c r="C29" s="755">
        <v>2380</v>
      </c>
      <c r="D29" s="756">
        <v>5261</v>
      </c>
      <c r="E29" s="756">
        <v>6110</v>
      </c>
      <c r="F29" s="756">
        <v>6505</v>
      </c>
      <c r="G29" s="756">
        <v>6770.557</v>
      </c>
      <c r="H29" s="756">
        <v>7153.141</v>
      </c>
      <c r="I29" s="756">
        <v>7517.266</v>
      </c>
      <c r="J29" s="756">
        <v>8054.448</v>
      </c>
      <c r="K29" s="756">
        <v>8533.449</v>
      </c>
      <c r="L29" s="756">
        <v>8890.763</v>
      </c>
      <c r="M29" s="756">
        <v>9282.9</v>
      </c>
      <c r="N29" s="756">
        <v>9991.3</v>
      </c>
      <c r="O29" s="756">
        <v>10503.1</v>
      </c>
      <c r="P29" s="756">
        <v>11028.9</v>
      </c>
      <c r="Q29" s="756">
        <v>11243.8</v>
      </c>
      <c r="R29" s="756">
        <v>11975.191</v>
      </c>
      <c r="S29" s="756">
        <v>12339.353</v>
      </c>
      <c r="T29" s="756">
        <v>13384.229</v>
      </c>
      <c r="U29" s="756">
        <v>14588.739</v>
      </c>
      <c r="V29" s="756">
        <v>16079.533</v>
      </c>
      <c r="W29" s="756">
        <v>16495</v>
      </c>
      <c r="X29" s="756">
        <v>17239.8</v>
      </c>
      <c r="Y29" s="783">
        <v>18125</v>
      </c>
      <c r="Z29" s="767">
        <v>5.134630332138428</v>
      </c>
      <c r="AA29" s="750" t="s">
        <v>81</v>
      </c>
    </row>
    <row r="30" spans="1:27" ht="12.75">
      <c r="A30" s="494" t="s">
        <v>93</v>
      </c>
      <c r="B30" s="754">
        <v>421</v>
      </c>
      <c r="C30" s="754">
        <v>1269</v>
      </c>
      <c r="D30" s="730">
        <v>1849</v>
      </c>
      <c r="E30" s="731">
        <v>1950</v>
      </c>
      <c r="F30" s="731">
        <v>2100</v>
      </c>
      <c r="G30" s="731">
        <v>2250</v>
      </c>
      <c r="H30" s="731">
        <v>2410</v>
      </c>
      <c r="I30" s="730">
        <v>2560</v>
      </c>
      <c r="J30" s="730">
        <v>2750</v>
      </c>
      <c r="K30" s="730">
        <v>2950</v>
      </c>
      <c r="L30" s="730">
        <v>3150</v>
      </c>
      <c r="M30" s="730">
        <v>3350</v>
      </c>
      <c r="N30" s="730">
        <v>3443</v>
      </c>
      <c r="O30" s="730">
        <v>3589</v>
      </c>
      <c r="P30" s="730">
        <v>3885</v>
      </c>
      <c r="Q30" s="730">
        <v>3966</v>
      </c>
      <c r="R30" s="730">
        <v>4100</v>
      </c>
      <c r="S30" s="730">
        <v>4200</v>
      </c>
      <c r="T30" s="730">
        <v>4290</v>
      </c>
      <c r="U30" s="730">
        <v>4379</v>
      </c>
      <c r="V30" s="730">
        <v>4408</v>
      </c>
      <c r="W30" s="730">
        <v>4457</v>
      </c>
      <c r="X30" s="794">
        <v>4692</v>
      </c>
      <c r="Y30" s="782">
        <v>4712</v>
      </c>
      <c r="Z30" s="739">
        <v>0.4262574595055497</v>
      </c>
      <c r="AA30" s="494" t="s">
        <v>93</v>
      </c>
    </row>
    <row r="31" spans="1:27" ht="12.75">
      <c r="A31" s="750" t="s">
        <v>103</v>
      </c>
      <c r="B31" s="755">
        <v>40</v>
      </c>
      <c r="C31" s="755">
        <v>240</v>
      </c>
      <c r="D31" s="756">
        <v>1292.283</v>
      </c>
      <c r="E31" s="756">
        <v>1431.566</v>
      </c>
      <c r="F31" s="756">
        <v>1593.029</v>
      </c>
      <c r="G31" s="756">
        <v>1793.054</v>
      </c>
      <c r="H31" s="756">
        <v>2020.017</v>
      </c>
      <c r="I31" s="756">
        <v>2197.477</v>
      </c>
      <c r="J31" s="756">
        <v>2326.177</v>
      </c>
      <c r="K31" s="756">
        <v>2447.087</v>
      </c>
      <c r="L31" s="756">
        <v>2594.571</v>
      </c>
      <c r="M31" s="756">
        <v>2702.021</v>
      </c>
      <c r="N31" s="756">
        <v>2777.594</v>
      </c>
      <c r="O31" s="756">
        <v>2881.191</v>
      </c>
      <c r="P31" s="756">
        <v>2973.39</v>
      </c>
      <c r="Q31" s="756">
        <v>3087.628</v>
      </c>
      <c r="R31" s="756">
        <v>3225.367</v>
      </c>
      <c r="S31" s="756">
        <v>3363.779</v>
      </c>
      <c r="T31" s="758">
        <v>3603.437</v>
      </c>
      <c r="U31" s="756">
        <v>3541.262</v>
      </c>
      <c r="V31" s="756">
        <v>4027.363</v>
      </c>
      <c r="W31" s="756">
        <v>4244.9</v>
      </c>
      <c r="X31" s="756">
        <v>4319.701</v>
      </c>
      <c r="Y31" s="783">
        <v>4334.547</v>
      </c>
      <c r="Z31" s="767">
        <v>0.34368119460120283</v>
      </c>
      <c r="AA31" s="750" t="s">
        <v>103</v>
      </c>
    </row>
    <row r="32" spans="1:27" ht="12.75">
      <c r="A32" s="494" t="s">
        <v>84</v>
      </c>
      <c r="B32" s="754">
        <v>150.807</v>
      </c>
      <c r="C32" s="754">
        <v>416.448</v>
      </c>
      <c r="D32" s="730">
        <v>587.104</v>
      </c>
      <c r="E32" s="730">
        <v>602.884</v>
      </c>
      <c r="F32" s="730">
        <v>606.245</v>
      </c>
      <c r="G32" s="730">
        <v>650.344</v>
      </c>
      <c r="H32" s="730">
        <v>668.307</v>
      </c>
      <c r="I32" s="730">
        <v>711.364</v>
      </c>
      <c r="J32" s="730">
        <v>743.057</v>
      </c>
      <c r="K32" s="730">
        <v>776.798</v>
      </c>
      <c r="L32" s="730">
        <v>811.671</v>
      </c>
      <c r="M32" s="730">
        <v>846.109</v>
      </c>
      <c r="N32" s="730">
        <v>866.096</v>
      </c>
      <c r="O32" s="730">
        <v>881.487</v>
      </c>
      <c r="P32" s="730">
        <v>894.521</v>
      </c>
      <c r="Q32" s="730">
        <v>910.429</v>
      </c>
      <c r="R32" s="730">
        <v>933.941</v>
      </c>
      <c r="S32" s="730">
        <v>960.213</v>
      </c>
      <c r="T32" s="730">
        <v>980.261</v>
      </c>
      <c r="U32" s="730">
        <v>1014.122</v>
      </c>
      <c r="V32" s="730">
        <v>1045.183</v>
      </c>
      <c r="W32" s="730">
        <v>1058.858</v>
      </c>
      <c r="X32" s="730">
        <v>1061.646</v>
      </c>
      <c r="Y32" s="782">
        <v>1066.49</v>
      </c>
      <c r="Z32" s="739">
        <v>0.4562726181797103</v>
      </c>
      <c r="AA32" s="494" t="s">
        <v>84</v>
      </c>
    </row>
    <row r="33" spans="1:27" ht="12.75">
      <c r="A33" s="750" t="s">
        <v>86</v>
      </c>
      <c r="B33" s="755">
        <v>164</v>
      </c>
      <c r="C33" s="755">
        <v>552</v>
      </c>
      <c r="D33" s="756">
        <v>880</v>
      </c>
      <c r="E33" s="756">
        <v>929</v>
      </c>
      <c r="F33" s="756">
        <v>971</v>
      </c>
      <c r="G33" s="756">
        <v>994.933</v>
      </c>
      <c r="H33" s="756">
        <v>994.046</v>
      </c>
      <c r="I33" s="756">
        <v>1015.794</v>
      </c>
      <c r="J33" s="756">
        <v>1058.425</v>
      </c>
      <c r="K33" s="756">
        <v>1135.914</v>
      </c>
      <c r="L33" s="756">
        <v>1196.109</v>
      </c>
      <c r="M33" s="756">
        <v>1236.4</v>
      </c>
      <c r="N33" s="756">
        <v>1274.2</v>
      </c>
      <c r="O33" s="756">
        <v>1292.8</v>
      </c>
      <c r="P33" s="756">
        <v>1326.9</v>
      </c>
      <c r="Q33" s="758">
        <v>1356.2</v>
      </c>
      <c r="R33" s="756">
        <v>1197.03</v>
      </c>
      <c r="S33" s="756">
        <v>1303.704</v>
      </c>
      <c r="T33" s="756">
        <v>1333.749</v>
      </c>
      <c r="U33" s="756">
        <v>1433.926</v>
      </c>
      <c r="V33" s="756">
        <v>1544.888</v>
      </c>
      <c r="W33" s="785">
        <v>1589.044</v>
      </c>
      <c r="X33" s="785">
        <v>1669.065</v>
      </c>
      <c r="Y33" s="786">
        <v>1749.3</v>
      </c>
      <c r="Z33" s="769">
        <v>4.80718246443368</v>
      </c>
      <c r="AA33" s="750" t="s">
        <v>86</v>
      </c>
    </row>
    <row r="34" spans="1:27" ht="12.75">
      <c r="A34" s="494" t="s">
        <v>88</v>
      </c>
      <c r="B34" s="754">
        <v>712</v>
      </c>
      <c r="C34" s="754">
        <v>1226</v>
      </c>
      <c r="D34" s="730">
        <v>1938.856</v>
      </c>
      <c r="E34" s="730">
        <v>1923</v>
      </c>
      <c r="F34" s="730">
        <v>1936</v>
      </c>
      <c r="G34" s="730">
        <v>1872.933</v>
      </c>
      <c r="H34" s="730">
        <v>1872.588</v>
      </c>
      <c r="I34" s="730">
        <v>1900.855</v>
      </c>
      <c r="J34" s="730">
        <v>1942.752</v>
      </c>
      <c r="K34" s="730">
        <v>1948.126</v>
      </c>
      <c r="L34" s="730">
        <v>2021.116</v>
      </c>
      <c r="M34" s="730">
        <v>2082.58</v>
      </c>
      <c r="N34" s="730">
        <v>2134.728</v>
      </c>
      <c r="O34" s="730">
        <v>2160.603</v>
      </c>
      <c r="P34" s="730">
        <v>2194.683</v>
      </c>
      <c r="Q34" s="730">
        <v>2274.577</v>
      </c>
      <c r="R34" s="730">
        <v>2346.726</v>
      </c>
      <c r="S34" s="730">
        <v>2430.345</v>
      </c>
      <c r="T34" s="730">
        <v>2505.543</v>
      </c>
      <c r="U34" s="730">
        <v>2570.356</v>
      </c>
      <c r="V34" s="730">
        <v>2700.492</v>
      </c>
      <c r="W34" s="730">
        <v>2776.664</v>
      </c>
      <c r="X34" s="730">
        <v>2877.484</v>
      </c>
      <c r="Y34" s="782">
        <v>2978</v>
      </c>
      <c r="Z34" s="739">
        <v>3.4931905789919284</v>
      </c>
      <c r="AA34" s="494" t="s">
        <v>88</v>
      </c>
    </row>
    <row r="35" spans="1:27" ht="12.75">
      <c r="A35" s="750" t="s">
        <v>89</v>
      </c>
      <c r="B35" s="755">
        <v>2288</v>
      </c>
      <c r="C35" s="755">
        <v>2883</v>
      </c>
      <c r="D35" s="756">
        <v>3601</v>
      </c>
      <c r="E35" s="756">
        <v>3619</v>
      </c>
      <c r="F35" s="756">
        <v>3589</v>
      </c>
      <c r="G35" s="756">
        <v>3566.1</v>
      </c>
      <c r="H35" s="756">
        <v>3594.2</v>
      </c>
      <c r="I35" s="756">
        <v>3630.76</v>
      </c>
      <c r="J35" s="756">
        <v>3654.92</v>
      </c>
      <c r="K35" s="756">
        <v>3701.17</v>
      </c>
      <c r="L35" s="756">
        <v>3790.695</v>
      </c>
      <c r="M35" s="756">
        <v>3890.159</v>
      </c>
      <c r="N35" s="756">
        <v>3998.614</v>
      </c>
      <c r="O35" s="756">
        <v>4018.533</v>
      </c>
      <c r="P35" s="756">
        <v>4042.792</v>
      </c>
      <c r="Q35" s="756">
        <v>4075.414</v>
      </c>
      <c r="R35" s="756">
        <v>4113.424</v>
      </c>
      <c r="S35" s="756">
        <v>4153.674</v>
      </c>
      <c r="T35" s="756">
        <v>4202.463</v>
      </c>
      <c r="U35" s="756">
        <v>4258.463</v>
      </c>
      <c r="V35" s="756">
        <v>4278.995</v>
      </c>
      <c r="W35" s="756">
        <v>4300.752</v>
      </c>
      <c r="X35" s="756">
        <v>4335.182</v>
      </c>
      <c r="Y35" s="783">
        <v>4401.352</v>
      </c>
      <c r="Z35" s="767">
        <v>1.5263488361042334</v>
      </c>
      <c r="AA35" s="750" t="s">
        <v>89</v>
      </c>
    </row>
    <row r="36" spans="1:27" ht="12.75">
      <c r="A36" s="513" t="s">
        <v>13</v>
      </c>
      <c r="B36" s="759">
        <v>11900</v>
      </c>
      <c r="C36" s="759">
        <v>15619</v>
      </c>
      <c r="D36" s="732">
        <v>20722</v>
      </c>
      <c r="E36" s="732">
        <v>20760</v>
      </c>
      <c r="F36" s="732">
        <v>20970</v>
      </c>
      <c r="G36" s="732">
        <v>21290.696</v>
      </c>
      <c r="H36" s="732">
        <v>21740.709</v>
      </c>
      <c r="I36" s="732">
        <v>21950.81</v>
      </c>
      <c r="J36" s="732">
        <v>22818.718</v>
      </c>
      <c r="K36" s="732">
        <v>23450</v>
      </c>
      <c r="L36" s="732">
        <v>23922.229</v>
      </c>
      <c r="M36" s="732">
        <v>24627.942</v>
      </c>
      <c r="N36" s="732">
        <v>25066.864</v>
      </c>
      <c r="O36" s="732">
        <v>25815.702</v>
      </c>
      <c r="P36" s="732">
        <v>26492.593</v>
      </c>
      <c r="Q36" s="732">
        <v>26992.347999999998</v>
      </c>
      <c r="R36" s="732">
        <v>27806.244</v>
      </c>
      <c r="S36" s="732">
        <v>28326.297000000002</v>
      </c>
      <c r="T36" s="732">
        <v>28446.661</v>
      </c>
      <c r="U36" s="732">
        <v>28873.319</v>
      </c>
      <c r="V36" s="732">
        <v>29049.914</v>
      </c>
      <c r="W36" s="732">
        <v>29152.304000000004</v>
      </c>
      <c r="X36" s="732">
        <v>29333.576</v>
      </c>
      <c r="Y36" s="787">
        <v>29382.213999999996</v>
      </c>
      <c r="Z36" s="740">
        <v>0.16580999193548962</v>
      </c>
      <c r="AA36" s="513" t="s">
        <v>13</v>
      </c>
    </row>
    <row r="37" spans="1:27" ht="12.75">
      <c r="A37" s="750" t="s">
        <v>164</v>
      </c>
      <c r="B37" s="755" t="s">
        <v>100</v>
      </c>
      <c r="C37" s="755" t="s">
        <v>100</v>
      </c>
      <c r="D37" s="756"/>
      <c r="E37" s="756"/>
      <c r="F37" s="756"/>
      <c r="G37" s="756">
        <v>646.21</v>
      </c>
      <c r="H37" s="756">
        <v>698.391</v>
      </c>
      <c r="I37" s="756">
        <v>710.91</v>
      </c>
      <c r="J37" s="756">
        <v>835.714</v>
      </c>
      <c r="K37" s="756">
        <v>932.278</v>
      </c>
      <c r="L37" s="756">
        <v>1000.052</v>
      </c>
      <c r="M37" s="756">
        <v>1063.546</v>
      </c>
      <c r="N37" s="756">
        <v>1124.825</v>
      </c>
      <c r="O37" s="756">
        <v>1195.45</v>
      </c>
      <c r="P37" s="756">
        <v>1244.252</v>
      </c>
      <c r="Q37" s="756">
        <v>1293.421</v>
      </c>
      <c r="R37" s="756">
        <v>1337.538</v>
      </c>
      <c r="S37" s="756">
        <v>1384.699</v>
      </c>
      <c r="T37" s="756">
        <v>1435.781</v>
      </c>
      <c r="U37" s="756">
        <v>1491.127</v>
      </c>
      <c r="V37" s="758">
        <v>1535.28</v>
      </c>
      <c r="W37" s="756">
        <v>1532.549</v>
      </c>
      <c r="X37" s="756">
        <v>1515.449</v>
      </c>
      <c r="Y37" s="783">
        <v>1518.278</v>
      </c>
      <c r="Z37" s="770">
        <v>0.18667734776953182</v>
      </c>
      <c r="AA37" s="750" t="s">
        <v>164</v>
      </c>
    </row>
    <row r="38" spans="1:27" ht="12.75">
      <c r="A38" s="494" t="s">
        <v>165</v>
      </c>
      <c r="B38" s="754"/>
      <c r="C38" s="754"/>
      <c r="D38" s="730"/>
      <c r="E38" s="730"/>
      <c r="F38" s="730"/>
      <c r="G38" s="730">
        <v>289.979</v>
      </c>
      <c r="H38" s="730">
        <v>263.181</v>
      </c>
      <c r="I38" s="730">
        <v>285.907</v>
      </c>
      <c r="J38" s="730">
        <v>284.022</v>
      </c>
      <c r="K38" s="730">
        <v>289.204</v>
      </c>
      <c r="L38" s="730">
        <v>288.678</v>
      </c>
      <c r="M38" s="730">
        <v>290</v>
      </c>
      <c r="N38" s="730">
        <v>300</v>
      </c>
      <c r="O38" s="730">
        <v>310</v>
      </c>
      <c r="P38" s="730">
        <v>308</v>
      </c>
      <c r="Q38" s="757">
        <v>299.809</v>
      </c>
      <c r="R38" s="730">
        <v>249.403</v>
      </c>
      <c r="S38" s="730">
        <v>253.234</v>
      </c>
      <c r="T38" s="730">
        <v>242.287</v>
      </c>
      <c r="U38" s="730">
        <v>248.774</v>
      </c>
      <c r="V38" s="730">
        <v>263.112</v>
      </c>
      <c r="W38" s="730">
        <v>282.196</v>
      </c>
      <c r="X38" s="730">
        <v>310.231</v>
      </c>
      <c r="Y38" s="782">
        <v>313.08</v>
      </c>
      <c r="Z38" s="771">
        <v>0.918347940728026</v>
      </c>
      <c r="AA38" s="494" t="s">
        <v>165</v>
      </c>
    </row>
    <row r="39" spans="1:27" ht="12.75">
      <c r="A39" s="752" t="s">
        <v>166</v>
      </c>
      <c r="B39" s="760" t="s">
        <v>100</v>
      </c>
      <c r="C39" s="760" t="s">
        <v>100</v>
      </c>
      <c r="D39" s="761"/>
      <c r="E39" s="761"/>
      <c r="F39" s="761"/>
      <c r="G39" s="761">
        <v>2619.852</v>
      </c>
      <c r="H39" s="761">
        <v>2861.64</v>
      </c>
      <c r="I39" s="761">
        <v>3058.5110000000004</v>
      </c>
      <c r="J39" s="761">
        <v>3274.156</v>
      </c>
      <c r="K39" s="761">
        <v>3570.105</v>
      </c>
      <c r="L39" s="761">
        <v>3838.288</v>
      </c>
      <c r="M39" s="761">
        <v>4072.326</v>
      </c>
      <c r="N39" s="761">
        <v>4422.18</v>
      </c>
      <c r="O39" s="761">
        <v>4534.803</v>
      </c>
      <c r="P39" s="761">
        <v>4600.14</v>
      </c>
      <c r="Q39" s="761">
        <v>4700.343</v>
      </c>
      <c r="R39" s="761">
        <v>5400.44</v>
      </c>
      <c r="S39" s="761">
        <v>5772.745</v>
      </c>
      <c r="T39" s="761">
        <v>6140.992</v>
      </c>
      <c r="U39" s="761">
        <v>6472.156</v>
      </c>
      <c r="V39" s="761">
        <v>6796.629</v>
      </c>
      <c r="W39" s="761">
        <v>7093.964</v>
      </c>
      <c r="X39" s="761">
        <v>7544.871</v>
      </c>
      <c r="Y39" s="788">
        <v>8113.111</v>
      </c>
      <c r="Z39" s="772">
        <v>7.531474030503631</v>
      </c>
      <c r="AA39" s="752" t="s">
        <v>166</v>
      </c>
    </row>
    <row r="40" spans="1:27" ht="12.75">
      <c r="A40" s="536" t="s">
        <v>167</v>
      </c>
      <c r="B40" s="762">
        <v>40.786</v>
      </c>
      <c r="C40" s="762">
        <v>85.924</v>
      </c>
      <c r="D40" s="789">
        <v>119.731</v>
      </c>
      <c r="E40" s="789">
        <v>120.862</v>
      </c>
      <c r="F40" s="789">
        <v>120.146</v>
      </c>
      <c r="G40" s="789">
        <v>116.195</v>
      </c>
      <c r="H40" s="789">
        <v>116.243</v>
      </c>
      <c r="I40" s="789">
        <v>119.232</v>
      </c>
      <c r="J40" s="789">
        <v>124.909</v>
      </c>
      <c r="K40" s="789">
        <v>132.468</v>
      </c>
      <c r="L40" s="789">
        <v>140.372</v>
      </c>
      <c r="M40" s="789">
        <v>151.409</v>
      </c>
      <c r="N40" s="789">
        <v>158.936</v>
      </c>
      <c r="O40" s="789">
        <v>159.865</v>
      </c>
      <c r="P40" s="789">
        <v>161.721</v>
      </c>
      <c r="Q40" s="789">
        <v>166.869</v>
      </c>
      <c r="R40" s="789">
        <v>175.427</v>
      </c>
      <c r="S40" s="789">
        <v>187.442</v>
      </c>
      <c r="T40" s="789">
        <v>197.305</v>
      </c>
      <c r="U40" s="789">
        <v>207.513</v>
      </c>
      <c r="V40" s="789">
        <v>209.74</v>
      </c>
      <c r="W40" s="789">
        <v>205.338</v>
      </c>
      <c r="X40" s="789">
        <v>204.736</v>
      </c>
      <c r="Y40" s="790">
        <v>206.112</v>
      </c>
      <c r="Z40" s="773">
        <v>0.6720850265708123</v>
      </c>
      <c r="AA40" s="536" t="s">
        <v>167</v>
      </c>
    </row>
    <row r="41" spans="1:27" ht="12.75">
      <c r="A41" s="750" t="s">
        <v>168</v>
      </c>
      <c r="B41" s="755">
        <v>690</v>
      </c>
      <c r="C41" s="755">
        <v>1230</v>
      </c>
      <c r="D41" s="756">
        <v>1613.037</v>
      </c>
      <c r="E41" s="756">
        <v>1614.623</v>
      </c>
      <c r="F41" s="756">
        <v>1619.438</v>
      </c>
      <c r="G41" s="756">
        <v>1633.088</v>
      </c>
      <c r="H41" s="756">
        <v>1653.678</v>
      </c>
      <c r="I41" s="756">
        <v>1684.664</v>
      </c>
      <c r="J41" s="756">
        <v>1661.247</v>
      </c>
      <c r="K41" s="756">
        <v>1758.001</v>
      </c>
      <c r="L41" s="756">
        <v>1786.404</v>
      </c>
      <c r="M41" s="756">
        <v>1813.642</v>
      </c>
      <c r="N41" s="756">
        <v>1851.929</v>
      </c>
      <c r="O41" s="756">
        <v>1872.862</v>
      </c>
      <c r="P41" s="756">
        <v>1899.767</v>
      </c>
      <c r="Q41" s="756">
        <v>1933.66</v>
      </c>
      <c r="R41" s="756">
        <v>1977.922</v>
      </c>
      <c r="S41" s="756">
        <v>2028.909</v>
      </c>
      <c r="T41" s="756">
        <v>2084.193</v>
      </c>
      <c r="U41" s="756">
        <v>2154.837</v>
      </c>
      <c r="V41" s="756">
        <v>2197.193</v>
      </c>
      <c r="W41" s="756">
        <v>2244</v>
      </c>
      <c r="X41" s="756">
        <v>2308.548</v>
      </c>
      <c r="Y41" s="783">
        <v>2376</v>
      </c>
      <c r="Z41" s="770">
        <v>2.9218365829950272</v>
      </c>
      <c r="AA41" s="750" t="s">
        <v>168</v>
      </c>
    </row>
    <row r="42" spans="1:27" ht="12.75">
      <c r="A42" s="494" t="s">
        <v>169</v>
      </c>
      <c r="B42" s="763">
        <v>1383.204</v>
      </c>
      <c r="C42" s="763">
        <v>2246.752</v>
      </c>
      <c r="D42" s="791">
        <v>2985.397</v>
      </c>
      <c r="E42" s="791">
        <v>3057.798</v>
      </c>
      <c r="F42" s="791">
        <v>3091.228</v>
      </c>
      <c r="G42" s="791">
        <v>3109.523</v>
      </c>
      <c r="H42" s="791">
        <v>3165.042</v>
      </c>
      <c r="I42" s="791">
        <v>3229.176</v>
      </c>
      <c r="J42" s="791">
        <v>3268.093</v>
      </c>
      <c r="K42" s="791">
        <v>3323.455</v>
      </c>
      <c r="L42" s="791">
        <v>3383.307</v>
      </c>
      <c r="M42" s="791">
        <v>3467.311</v>
      </c>
      <c r="N42" s="791">
        <v>3545.247</v>
      </c>
      <c r="O42" s="791">
        <v>3629.713</v>
      </c>
      <c r="P42" s="791">
        <v>3700.951</v>
      </c>
      <c r="Q42" s="791">
        <v>3753.89</v>
      </c>
      <c r="R42" s="791">
        <v>3811.351</v>
      </c>
      <c r="S42" s="791">
        <v>3861.442</v>
      </c>
      <c r="T42" s="791">
        <v>3900.014</v>
      </c>
      <c r="U42" s="791">
        <v>3955.787</v>
      </c>
      <c r="V42" s="791">
        <v>3989.811</v>
      </c>
      <c r="W42" s="791">
        <v>4009.602</v>
      </c>
      <c r="X42" s="791">
        <v>4075.825</v>
      </c>
      <c r="Y42" s="792">
        <v>4163</v>
      </c>
      <c r="Z42" s="774">
        <v>2.138830788858698</v>
      </c>
      <c r="AA42" s="494" t="s">
        <v>169</v>
      </c>
    </row>
    <row r="43" spans="1:27" ht="12.75">
      <c r="A43" s="752" t="s">
        <v>284</v>
      </c>
      <c r="B43" s="760"/>
      <c r="C43" s="760"/>
      <c r="D43" s="761">
        <v>16.891</v>
      </c>
      <c r="E43" s="761">
        <v>17.328</v>
      </c>
      <c r="F43" s="761">
        <v>17.679</v>
      </c>
      <c r="G43" s="761">
        <v>17.767</v>
      </c>
      <c r="H43" s="761">
        <v>18.256</v>
      </c>
      <c r="I43" s="761">
        <v>18.82</v>
      </c>
      <c r="J43" s="761">
        <v>19.31</v>
      </c>
      <c r="K43" s="761">
        <v>19.926</v>
      </c>
      <c r="L43" s="761">
        <v>20.469</v>
      </c>
      <c r="M43" s="761">
        <v>21.15</v>
      </c>
      <c r="N43" s="761">
        <v>21.784</v>
      </c>
      <c r="O43" s="761">
        <v>22.626</v>
      </c>
      <c r="P43" s="761">
        <v>23.265</v>
      </c>
      <c r="Q43" s="761">
        <v>23.524</v>
      </c>
      <c r="R43" s="761">
        <v>23.935</v>
      </c>
      <c r="S43" s="761">
        <v>24.393</v>
      </c>
      <c r="T43" s="761">
        <v>24.293</v>
      </c>
      <c r="U43" s="761">
        <v>24.368</v>
      </c>
      <c r="V43" s="761">
        <v>25.462</v>
      </c>
      <c r="W43" s="761">
        <v>25.909</v>
      </c>
      <c r="X43" s="761">
        <v>26.89</v>
      </c>
      <c r="Y43" s="788">
        <v>27.327</v>
      </c>
      <c r="Z43" s="772">
        <v>1.6251394570472257</v>
      </c>
      <c r="AA43" s="752" t="s">
        <v>284</v>
      </c>
    </row>
    <row r="44" spans="1:27" ht="12.75">
      <c r="A44" s="1111" t="s">
        <v>285</v>
      </c>
      <c r="B44" s="1112"/>
      <c r="C44" s="1112"/>
      <c r="D44" s="1112"/>
      <c r="E44" s="1112"/>
      <c r="F44" s="1112"/>
      <c r="G44" s="1112"/>
      <c r="H44" s="1112"/>
      <c r="I44" s="1112"/>
      <c r="J44" s="1112"/>
      <c r="K44" s="1112"/>
      <c r="L44" s="1112"/>
      <c r="M44" s="1112"/>
      <c r="N44" s="1112"/>
      <c r="O44" s="1112"/>
      <c r="P44" s="1112"/>
      <c r="Q44" s="1112"/>
      <c r="R44" s="1112"/>
      <c r="S44" s="1112"/>
      <c r="T44" s="1112"/>
      <c r="U44" s="1112"/>
      <c r="V44" s="1112"/>
      <c r="W44" s="1112"/>
      <c r="X44" s="1112"/>
      <c r="Y44" s="1112"/>
      <c r="Z44" s="1112"/>
      <c r="AA44" s="1112"/>
    </row>
    <row r="45" spans="1:27" ht="12.75">
      <c r="A45" s="1113" t="s">
        <v>197</v>
      </c>
      <c r="B45" s="1109"/>
      <c r="C45" s="1109"/>
      <c r="D45" s="1109"/>
      <c r="E45" s="1109"/>
      <c r="F45" s="1109"/>
      <c r="G45" s="1109"/>
      <c r="H45" s="1109"/>
      <c r="I45" s="1109"/>
      <c r="J45" s="1109"/>
      <c r="K45" s="1109"/>
      <c r="L45" s="1109"/>
      <c r="M45" s="1109"/>
      <c r="N45" s="1109"/>
      <c r="O45" s="1109"/>
      <c r="P45" s="1109"/>
      <c r="Q45" s="1109"/>
      <c r="R45" s="1109"/>
      <c r="S45" s="1109"/>
      <c r="T45" s="1109"/>
      <c r="U45" s="1109"/>
      <c r="V45" s="1109"/>
      <c r="W45" s="1109"/>
      <c r="X45" s="1109"/>
      <c r="Y45" s="1109"/>
      <c r="Z45" s="1109"/>
      <c r="AA45" s="1062"/>
    </row>
    <row r="46" spans="1:27" ht="12.75">
      <c r="A46" s="1109" t="s">
        <v>286</v>
      </c>
      <c r="B46" s="1109"/>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062"/>
    </row>
    <row r="47" spans="1:27" ht="12.75">
      <c r="A47" s="1109" t="s">
        <v>287</v>
      </c>
      <c r="B47" s="1109"/>
      <c r="C47" s="1109"/>
      <c r="D47" s="1109"/>
      <c r="E47" s="1109"/>
      <c r="F47" s="1109"/>
      <c r="G47" s="1109"/>
      <c r="H47" s="1109"/>
      <c r="I47" s="1109"/>
      <c r="J47" s="1109"/>
      <c r="K47" s="1109"/>
      <c r="L47" s="1109"/>
      <c r="M47" s="1109"/>
      <c r="N47" s="1109"/>
      <c r="O47" s="1109"/>
      <c r="P47" s="1109"/>
      <c r="Q47" s="1109"/>
      <c r="R47" s="1109"/>
      <c r="S47" s="1109"/>
      <c r="T47" s="1109"/>
      <c r="U47" s="1109"/>
      <c r="V47" s="1109"/>
      <c r="W47" s="1109"/>
      <c r="X47" s="1109"/>
      <c r="Y47" s="1109"/>
      <c r="Z47" s="1109"/>
      <c r="AA47" s="1062"/>
    </row>
    <row r="48" spans="1:27" ht="12.75">
      <c r="A48" s="723" t="s">
        <v>288</v>
      </c>
      <c r="B48" s="443"/>
      <c r="C48" s="443"/>
      <c r="D48" s="443"/>
      <c r="E48" s="443"/>
      <c r="F48" s="443"/>
      <c r="G48" s="443"/>
      <c r="H48" s="443"/>
      <c r="I48" s="443"/>
      <c r="J48" s="443"/>
      <c r="K48" s="443"/>
      <c r="L48" s="443"/>
      <c r="M48" s="443"/>
      <c r="N48" s="443"/>
      <c r="O48" s="725"/>
      <c r="P48" s="728"/>
      <c r="Q48" s="727"/>
      <c r="R48" s="727"/>
      <c r="S48" s="727"/>
      <c r="T48" s="727"/>
      <c r="U48" s="727"/>
      <c r="V48" s="727"/>
      <c r="W48" s="727"/>
      <c r="X48" s="727"/>
      <c r="Y48" s="443"/>
      <c r="Z48" s="443"/>
      <c r="AA48" s="443"/>
    </row>
  </sheetData>
  <sheetProtection/>
  <mergeCells count="6">
    <mergeCell ref="A47:AA47"/>
    <mergeCell ref="A2:AA2"/>
    <mergeCell ref="A3:AA3"/>
    <mergeCell ref="A44:AA44"/>
    <mergeCell ref="A45:AA45"/>
    <mergeCell ref="A46:A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9" sqref="C9"/>
    </sheetView>
  </sheetViews>
  <sheetFormatPr defaultColWidth="9.140625" defaultRowHeight="12.75"/>
  <cols>
    <col min="2" max="2" width="1.7109375" style="0" customWidth="1"/>
    <col min="3" max="3" width="142.8515625" style="0" customWidth="1"/>
    <col min="4" max="4" width="1.8515625" style="0" hidden="1" customWidth="1"/>
    <col min="5" max="5" width="76.421875" style="0" customWidth="1"/>
  </cols>
  <sheetData>
    <row r="1" spans="1:3" s="35" customFormat="1" ht="25.5">
      <c r="A1" s="64" t="s">
        <v>46</v>
      </c>
      <c r="C1" s="63" t="s">
        <v>133</v>
      </c>
    </row>
    <row r="2" spans="1:3" s="35" customFormat="1" ht="12.75">
      <c r="A2" s="35" t="s">
        <v>92</v>
      </c>
      <c r="C2" s="35" t="s">
        <v>121</v>
      </c>
    </row>
    <row r="3" spans="1:3" s="35" customFormat="1" ht="12.75">
      <c r="A3" s="35" t="s">
        <v>50</v>
      </c>
      <c r="C3" s="35" t="s">
        <v>99</v>
      </c>
    </row>
    <row r="4" spans="1:3" s="35" customFormat="1" ht="12.75">
      <c r="A4" s="35" t="s">
        <v>97</v>
      </c>
      <c r="C4" s="35" t="s">
        <v>130</v>
      </c>
    </row>
    <row r="5" spans="1:3" s="35" customFormat="1" ht="12.75">
      <c r="A5" s="645" t="s">
        <v>346</v>
      </c>
      <c r="C5" s="645" t="s">
        <v>347</v>
      </c>
    </row>
    <row r="6" spans="1:3" s="35" customFormat="1" ht="12.75">
      <c r="A6" s="35" t="s">
        <v>91</v>
      </c>
      <c r="C6" s="35" t="s">
        <v>131</v>
      </c>
    </row>
    <row r="7" spans="1:3" s="35" customFormat="1" ht="12.75">
      <c r="A7" s="35" t="s">
        <v>94</v>
      </c>
      <c r="C7" s="35" t="s">
        <v>153</v>
      </c>
    </row>
    <row r="8" spans="1:3" s="35" customFormat="1" ht="12.75">
      <c r="A8" s="35" t="s">
        <v>122</v>
      </c>
      <c r="C8" s="35" t="s">
        <v>154</v>
      </c>
    </row>
    <row r="9" spans="1:3" s="35" customFormat="1" ht="12.75">
      <c r="A9" s="35" t="s">
        <v>117</v>
      </c>
      <c r="C9" s="35" t="s">
        <v>101</v>
      </c>
    </row>
    <row r="11" ht="12.75">
      <c r="C11" s="61"/>
    </row>
    <row r="12" ht="4.5" customHeight="1"/>
  </sheetData>
  <sheetProtection/>
  <printOptions/>
  <pageMargins left="0.75" right="0.75" top="1" bottom="1" header="0.5" footer="0.5"/>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FFFF00"/>
  </sheetPr>
  <dimension ref="B1:AB48"/>
  <sheetViews>
    <sheetView zoomScalePageLayoutView="0" workbookViewId="0" topLeftCell="J1">
      <selection activeCell="Z36" sqref="Z36"/>
    </sheetView>
  </sheetViews>
  <sheetFormatPr defaultColWidth="9.140625" defaultRowHeight="12.75"/>
  <sheetData>
    <row r="1" spans="2:28" ht="15.75">
      <c r="B1" s="1115"/>
      <c r="C1" s="1115"/>
      <c r="D1" s="815"/>
      <c r="E1" s="827"/>
      <c r="F1" s="809"/>
      <c r="G1" s="809"/>
      <c r="H1" s="809"/>
      <c r="I1" s="809"/>
      <c r="J1" s="809"/>
      <c r="K1" s="809"/>
      <c r="L1" s="809"/>
      <c r="M1" s="809"/>
      <c r="N1" s="809"/>
      <c r="O1" s="809"/>
      <c r="P1" s="809"/>
      <c r="Q1" s="799"/>
      <c r="R1" s="799"/>
      <c r="S1" s="799"/>
      <c r="T1" s="799"/>
      <c r="U1" s="799"/>
      <c r="V1" s="799"/>
      <c r="W1" s="799"/>
      <c r="X1" s="799"/>
      <c r="Y1" s="799"/>
      <c r="Z1" s="799"/>
      <c r="AA1" s="799"/>
      <c r="AB1" s="807" t="s">
        <v>139</v>
      </c>
    </row>
    <row r="2" spans="2:28" ht="15.75">
      <c r="B2" s="1116" t="s">
        <v>289</v>
      </c>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row>
    <row r="3" spans="2:28" ht="12.75">
      <c r="B3" s="1117" t="s">
        <v>282</v>
      </c>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row>
    <row r="4" spans="2:28" ht="12.75">
      <c r="B4" s="802"/>
      <c r="C4" s="802"/>
      <c r="D4" s="800"/>
      <c r="E4" s="833"/>
      <c r="F4" s="833"/>
      <c r="G4" s="833"/>
      <c r="H4" s="833"/>
      <c r="I4" s="833"/>
      <c r="J4" s="808"/>
      <c r="K4" s="808"/>
      <c r="L4" s="808"/>
      <c r="M4" s="808"/>
      <c r="N4" s="808"/>
      <c r="O4" s="808"/>
      <c r="P4" s="799"/>
      <c r="Q4" s="799"/>
      <c r="R4" s="799"/>
      <c r="S4" s="799"/>
      <c r="T4" s="799"/>
      <c r="U4" s="799"/>
      <c r="V4" s="799"/>
      <c r="W4" s="810"/>
      <c r="X4" s="810" t="s">
        <v>283</v>
      </c>
      <c r="Y4" s="814"/>
      <c r="Z4" s="814"/>
      <c r="AA4" s="799"/>
      <c r="AB4" s="814"/>
    </row>
    <row r="5" spans="2:28" ht="18.75">
      <c r="B5" s="822"/>
      <c r="C5" s="818">
        <v>1970</v>
      </c>
      <c r="D5" s="819">
        <v>1980</v>
      </c>
      <c r="E5" s="819">
        <v>1990</v>
      </c>
      <c r="F5" s="819">
        <v>1991</v>
      </c>
      <c r="G5" s="819">
        <v>1992</v>
      </c>
      <c r="H5" s="819">
        <v>1993</v>
      </c>
      <c r="I5" s="819">
        <v>1994</v>
      </c>
      <c r="J5" s="819">
        <v>1995</v>
      </c>
      <c r="K5" s="819">
        <v>1996</v>
      </c>
      <c r="L5" s="819">
        <v>1997</v>
      </c>
      <c r="M5" s="819">
        <v>1998</v>
      </c>
      <c r="N5" s="819">
        <v>1999</v>
      </c>
      <c r="O5" s="819">
        <v>2000</v>
      </c>
      <c r="P5" s="819">
        <v>2001</v>
      </c>
      <c r="Q5" s="819">
        <v>2002</v>
      </c>
      <c r="R5" s="819">
        <v>2003</v>
      </c>
      <c r="S5" s="819">
        <v>2004</v>
      </c>
      <c r="T5" s="819">
        <v>2005</v>
      </c>
      <c r="U5" s="819">
        <v>2006</v>
      </c>
      <c r="V5" s="819">
        <v>2007</v>
      </c>
      <c r="W5" s="819">
        <v>2008</v>
      </c>
      <c r="X5" s="819">
        <v>2009</v>
      </c>
      <c r="Y5" s="819">
        <v>2010</v>
      </c>
      <c r="Z5" s="819">
        <v>2011</v>
      </c>
      <c r="AA5" s="824" t="s">
        <v>159</v>
      </c>
      <c r="AB5" s="803"/>
    </row>
    <row r="6" spans="2:28" ht="12.75">
      <c r="B6" s="823"/>
      <c r="C6" s="826"/>
      <c r="D6" s="817"/>
      <c r="E6" s="817"/>
      <c r="F6" s="817"/>
      <c r="G6" s="817"/>
      <c r="H6" s="817"/>
      <c r="I6" s="817"/>
      <c r="J6" s="817"/>
      <c r="K6" s="817"/>
      <c r="L6" s="817"/>
      <c r="M6" s="817"/>
      <c r="N6" s="817"/>
      <c r="O6" s="817"/>
      <c r="P6" s="817"/>
      <c r="Q6" s="817"/>
      <c r="R6" s="817"/>
      <c r="S6" s="817"/>
      <c r="T6" s="817"/>
      <c r="U6" s="817"/>
      <c r="V6" s="817"/>
      <c r="W6" s="817"/>
      <c r="X6" s="817"/>
      <c r="Y6" s="817"/>
      <c r="Z6" s="817"/>
      <c r="AA6" s="834" t="s">
        <v>160</v>
      </c>
      <c r="AB6" s="803"/>
    </row>
    <row r="7" spans="2:28" ht="12.75">
      <c r="B7" s="813" t="s">
        <v>161</v>
      </c>
      <c r="C7" s="835"/>
      <c r="D7" s="836"/>
      <c r="E7" s="836"/>
      <c r="F7" s="837"/>
      <c r="G7" s="837"/>
      <c r="H7" s="837"/>
      <c r="I7" s="837"/>
      <c r="J7" s="837">
        <v>22612.83999999999</v>
      </c>
      <c r="K7" s="837">
        <v>23325.601000000002</v>
      </c>
      <c r="L7" s="837">
        <v>23891.173000000006</v>
      </c>
      <c r="M7" s="837">
        <v>24634.422999999995</v>
      </c>
      <c r="N7" s="837">
        <v>25725.720999999998</v>
      </c>
      <c r="O7" s="837">
        <v>26807.978</v>
      </c>
      <c r="P7" s="837">
        <v>27749.332</v>
      </c>
      <c r="Q7" s="837">
        <v>28554.748000000003</v>
      </c>
      <c r="R7" s="837">
        <v>29177.327999999998</v>
      </c>
      <c r="S7" s="820">
        <v>30059.672000000002</v>
      </c>
      <c r="T7" s="820">
        <v>30783.319000000003</v>
      </c>
      <c r="U7" s="838">
        <v>31613.123</v>
      </c>
      <c r="V7" s="837">
        <v>32697.604</v>
      </c>
      <c r="W7" s="820">
        <v>33212.622</v>
      </c>
      <c r="X7" s="837">
        <v>33353.24900000001</v>
      </c>
      <c r="Y7" s="820">
        <v>33603.8573517002</v>
      </c>
      <c r="Z7" s="820">
        <v>33980.52050493915</v>
      </c>
      <c r="AA7" s="870">
        <v>1.12089260853827</v>
      </c>
      <c r="AB7" s="813" t="s">
        <v>161</v>
      </c>
    </row>
    <row r="8" spans="2:28" ht="12.75">
      <c r="B8" s="811" t="s">
        <v>162</v>
      </c>
      <c r="C8" s="839">
        <v>6623.695</v>
      </c>
      <c r="D8" s="840">
        <v>10656.015</v>
      </c>
      <c r="E8" s="840">
        <v>17395.367</v>
      </c>
      <c r="F8" s="840">
        <v>17845.110999999997</v>
      </c>
      <c r="G8" s="840">
        <v>18414.089</v>
      </c>
      <c r="H8" s="840">
        <v>19005.989</v>
      </c>
      <c r="I8" s="840">
        <v>19233.449999999997</v>
      </c>
      <c r="J8" s="840">
        <v>19650.411999999997</v>
      </c>
      <c r="K8" s="840">
        <v>20222.894</v>
      </c>
      <c r="L8" s="840">
        <v>20649.640000000003</v>
      </c>
      <c r="M8" s="840">
        <v>21221.262000000002</v>
      </c>
      <c r="N8" s="840">
        <v>22139.481000000003</v>
      </c>
      <c r="O8" s="840">
        <v>22965.448999999997</v>
      </c>
      <c r="P8" s="840">
        <v>23737.059</v>
      </c>
      <c r="Q8" s="840">
        <v>24274.228000000003</v>
      </c>
      <c r="R8" s="840">
        <v>24661.046</v>
      </c>
      <c r="S8" s="821">
        <v>25374.899</v>
      </c>
      <c r="T8" s="821">
        <v>26059.115</v>
      </c>
      <c r="U8" s="841">
        <v>26743.579</v>
      </c>
      <c r="V8" s="840">
        <v>27584.420000000006</v>
      </c>
      <c r="W8" s="821">
        <v>27614.433999999997</v>
      </c>
      <c r="X8" s="840">
        <v>27636.027000000002</v>
      </c>
      <c r="Y8" s="821">
        <v>27743.5813517002</v>
      </c>
      <c r="Z8" s="821">
        <v>27916.489504939156</v>
      </c>
      <c r="AA8" s="871">
        <v>0.6232366003762593</v>
      </c>
      <c r="AB8" s="811" t="s">
        <v>162</v>
      </c>
    </row>
    <row r="9" spans="2:28" ht="12.75">
      <c r="B9" s="812" t="s">
        <v>163</v>
      </c>
      <c r="C9" s="842"/>
      <c r="D9" s="843"/>
      <c r="E9" s="840"/>
      <c r="F9" s="840"/>
      <c r="G9" s="840"/>
      <c r="H9" s="840"/>
      <c r="I9" s="840"/>
      <c r="J9" s="840">
        <v>2962.4279999999926</v>
      </c>
      <c r="K9" s="840">
        <v>3102.707000000002</v>
      </c>
      <c r="L9" s="840">
        <v>3241.533000000003</v>
      </c>
      <c r="M9" s="840">
        <v>3413.160999999993</v>
      </c>
      <c r="N9" s="840">
        <v>3586.2399999999943</v>
      </c>
      <c r="O9" s="840">
        <v>3842.5290000000023</v>
      </c>
      <c r="P9" s="840">
        <v>4012.2729999999974</v>
      </c>
      <c r="Q9" s="840">
        <v>4280.52</v>
      </c>
      <c r="R9" s="840">
        <v>4516.281999999999</v>
      </c>
      <c r="S9" s="840">
        <v>4684.773000000001</v>
      </c>
      <c r="T9" s="840">
        <v>4724.2040000000015</v>
      </c>
      <c r="U9" s="841">
        <v>4869.543999999998</v>
      </c>
      <c r="V9" s="840">
        <v>5113.183999999994</v>
      </c>
      <c r="W9" s="840">
        <v>5598.188000000006</v>
      </c>
      <c r="X9" s="840">
        <v>5717.222000000009</v>
      </c>
      <c r="Y9" s="840">
        <v>5860.276000000002</v>
      </c>
      <c r="Z9" s="840">
        <v>6064.030999999995</v>
      </c>
      <c r="AA9" s="872">
        <v>3.476884023892282</v>
      </c>
      <c r="AB9" s="812" t="s">
        <v>163</v>
      </c>
    </row>
    <row r="10" spans="2:28" ht="12.75">
      <c r="B10" s="804" t="s">
        <v>61</v>
      </c>
      <c r="C10" s="844">
        <v>251.405</v>
      </c>
      <c r="D10" s="845">
        <v>299.084</v>
      </c>
      <c r="E10" s="845">
        <v>380.37899999999996</v>
      </c>
      <c r="F10" s="846">
        <v>401.452</v>
      </c>
      <c r="G10" s="846">
        <v>404.325</v>
      </c>
      <c r="H10" s="846">
        <v>426.915</v>
      </c>
      <c r="I10" s="846">
        <v>442.055</v>
      </c>
      <c r="J10" s="846">
        <v>442.463</v>
      </c>
      <c r="K10" s="846">
        <v>457.16</v>
      </c>
      <c r="L10" s="846">
        <v>476.583</v>
      </c>
      <c r="M10" s="846">
        <v>495.464</v>
      </c>
      <c r="N10" s="846">
        <v>524.088</v>
      </c>
      <c r="O10" s="846">
        <v>548.431</v>
      </c>
      <c r="P10" s="846">
        <v>572.636</v>
      </c>
      <c r="Q10" s="846">
        <v>587.4259999999999</v>
      </c>
      <c r="R10" s="846">
        <v>603.499</v>
      </c>
      <c r="S10" s="846">
        <v>625.518</v>
      </c>
      <c r="T10" s="846">
        <v>652.083</v>
      </c>
      <c r="U10" s="846">
        <v>670.414</v>
      </c>
      <c r="V10" s="846">
        <v>690.7470000000001</v>
      </c>
      <c r="W10" s="846">
        <v>711.889</v>
      </c>
      <c r="X10" s="846">
        <v>724.062</v>
      </c>
      <c r="Y10" s="846">
        <v>737.51</v>
      </c>
      <c r="Z10" s="846">
        <v>761.214</v>
      </c>
      <c r="AA10" s="828">
        <v>3.2140581144662406</v>
      </c>
      <c r="AB10" s="804" t="s">
        <v>61</v>
      </c>
    </row>
    <row r="11" spans="2:28" ht="12.75">
      <c r="B11" s="811" t="s">
        <v>102</v>
      </c>
      <c r="C11" s="847"/>
      <c r="D11" s="848" t="s">
        <v>290</v>
      </c>
      <c r="E11" s="848">
        <v>161.6</v>
      </c>
      <c r="F11" s="848">
        <v>174.2</v>
      </c>
      <c r="G11" s="848">
        <v>187.4</v>
      </c>
      <c r="H11" s="848">
        <v>203.942</v>
      </c>
      <c r="I11" s="848">
        <v>214.756</v>
      </c>
      <c r="J11" s="848">
        <v>223.17700000000002</v>
      </c>
      <c r="K11" s="848">
        <v>229.84</v>
      </c>
      <c r="L11" s="848">
        <v>232.76600000000002</v>
      </c>
      <c r="M11" s="848">
        <v>242.268</v>
      </c>
      <c r="N11" s="848">
        <v>251.5</v>
      </c>
      <c r="O11" s="848">
        <v>259.39</v>
      </c>
      <c r="P11" s="848">
        <v>269.586</v>
      </c>
      <c r="Q11" s="848">
        <v>279.858</v>
      </c>
      <c r="R11" s="848">
        <v>293.487</v>
      </c>
      <c r="S11" s="848">
        <v>317.681</v>
      </c>
      <c r="T11" s="849">
        <v>333.866</v>
      </c>
      <c r="U11" s="848">
        <v>226.09199999999998</v>
      </c>
      <c r="V11" s="848">
        <v>261.31600000000003</v>
      </c>
      <c r="W11" s="848">
        <v>299.161</v>
      </c>
      <c r="X11" s="848">
        <v>317.808</v>
      </c>
      <c r="Y11" s="848">
        <v>333.5</v>
      </c>
      <c r="Z11" s="848">
        <v>347.561</v>
      </c>
      <c r="AA11" s="829">
        <v>4.21619190404796</v>
      </c>
      <c r="AB11" s="811" t="s">
        <v>102</v>
      </c>
    </row>
    <row r="12" spans="2:28" ht="12.75">
      <c r="B12" s="805" t="s">
        <v>62</v>
      </c>
      <c r="C12" s="850"/>
      <c r="D12" s="851"/>
      <c r="E12" s="851"/>
      <c r="F12" s="852"/>
      <c r="G12" s="852"/>
      <c r="H12" s="852">
        <v>183.964</v>
      </c>
      <c r="I12" s="853">
        <v>199.635</v>
      </c>
      <c r="J12" s="853">
        <v>219.311</v>
      </c>
      <c r="K12" s="853">
        <v>242.959</v>
      </c>
      <c r="L12" s="853">
        <v>265.372</v>
      </c>
      <c r="M12" s="853">
        <v>280.31100000000004</v>
      </c>
      <c r="N12" s="853">
        <v>289.41</v>
      </c>
      <c r="O12" s="853">
        <v>298.286</v>
      </c>
      <c r="P12" s="853">
        <v>321.23499999999996</v>
      </c>
      <c r="Q12" s="853">
        <v>349.495</v>
      </c>
      <c r="R12" s="853">
        <v>365.746</v>
      </c>
      <c r="S12" s="853">
        <v>396.206</v>
      </c>
      <c r="T12" s="853">
        <v>439.161</v>
      </c>
      <c r="U12" s="853">
        <v>490.904</v>
      </c>
      <c r="V12" s="853">
        <v>554.831</v>
      </c>
      <c r="W12" s="853">
        <v>607.4119999999999</v>
      </c>
      <c r="X12" s="853">
        <v>601.767</v>
      </c>
      <c r="Y12" s="853">
        <v>597.966</v>
      </c>
      <c r="Z12" s="853">
        <v>597.2320000000001</v>
      </c>
      <c r="AA12" s="873">
        <v>-0.12274945398232262</v>
      </c>
      <c r="AB12" s="805" t="s">
        <v>62</v>
      </c>
    </row>
    <row r="13" spans="2:28" ht="12.75">
      <c r="B13" s="811" t="s">
        <v>14</v>
      </c>
      <c r="C13" s="847">
        <v>245</v>
      </c>
      <c r="D13" s="848">
        <v>249</v>
      </c>
      <c r="E13" s="848">
        <v>286.613</v>
      </c>
      <c r="F13" s="848">
        <v>298.312</v>
      </c>
      <c r="G13" s="848">
        <v>304.205</v>
      </c>
      <c r="H13" s="848">
        <v>312.274</v>
      </c>
      <c r="I13" s="848">
        <v>322.032</v>
      </c>
      <c r="J13" s="848">
        <v>333.758</v>
      </c>
      <c r="K13" s="848">
        <v>339.897</v>
      </c>
      <c r="L13" s="848">
        <v>345.972</v>
      </c>
      <c r="M13" s="848">
        <v>357.633</v>
      </c>
      <c r="N13" s="848">
        <v>373.258</v>
      </c>
      <c r="O13" s="848">
        <v>384.85</v>
      </c>
      <c r="P13" s="848">
        <v>392.26</v>
      </c>
      <c r="Q13" s="848">
        <v>401.762</v>
      </c>
      <c r="R13" s="848">
        <v>412.813</v>
      </c>
      <c r="S13" s="848">
        <v>436.147</v>
      </c>
      <c r="T13" s="848">
        <v>469.52299999999997</v>
      </c>
      <c r="U13" s="848">
        <v>508.774</v>
      </c>
      <c r="V13" s="848">
        <v>536.55</v>
      </c>
      <c r="W13" s="848">
        <v>531.403</v>
      </c>
      <c r="X13" s="848">
        <v>507.861</v>
      </c>
      <c r="Y13" s="848">
        <v>485.109</v>
      </c>
      <c r="Z13" s="848">
        <v>469.248</v>
      </c>
      <c r="AA13" s="829">
        <v>-3.2695744667693134</v>
      </c>
      <c r="AB13" s="811" t="s">
        <v>14</v>
      </c>
    </row>
    <row r="14" spans="2:28" ht="12.75">
      <c r="B14" s="805" t="s">
        <v>64</v>
      </c>
      <c r="C14" s="854">
        <v>1188</v>
      </c>
      <c r="D14" s="852">
        <v>1511</v>
      </c>
      <c r="E14" s="852">
        <v>1653</v>
      </c>
      <c r="F14" s="852">
        <v>1660</v>
      </c>
      <c r="G14" s="855">
        <v>1849</v>
      </c>
      <c r="H14" s="852">
        <v>2188.983</v>
      </c>
      <c r="I14" s="852">
        <v>2289.4100000000003</v>
      </c>
      <c r="J14" s="852">
        <v>2378.712</v>
      </c>
      <c r="K14" s="855">
        <v>2428.959</v>
      </c>
      <c r="L14" s="852">
        <v>2181.9970000000003</v>
      </c>
      <c r="M14" s="852">
        <v>2267.022</v>
      </c>
      <c r="N14" s="852">
        <v>2361.722</v>
      </c>
      <c r="O14" s="852">
        <v>2419.107</v>
      </c>
      <c r="P14" s="852">
        <v>2427.686</v>
      </c>
      <c r="Q14" s="852">
        <v>2397.622</v>
      </c>
      <c r="R14" s="852">
        <v>2385.0750000000003</v>
      </c>
      <c r="S14" s="852">
        <v>2385.286</v>
      </c>
      <c r="T14" s="855">
        <v>2404.9049999999997</v>
      </c>
      <c r="U14" s="855">
        <v>2471.221</v>
      </c>
      <c r="V14" s="856">
        <v>2502.999</v>
      </c>
      <c r="W14" s="852">
        <v>2523.5609999999997</v>
      </c>
      <c r="X14" s="852">
        <v>2556.01</v>
      </c>
      <c r="Y14" s="852">
        <v>2619.427</v>
      </c>
      <c r="Z14" s="857">
        <v>2712.977</v>
      </c>
      <c r="AA14" s="830">
        <v>3.571391758579253</v>
      </c>
      <c r="AB14" s="805" t="s">
        <v>64</v>
      </c>
    </row>
    <row r="15" spans="2:28" ht="12.75">
      <c r="B15" s="811" t="s">
        <v>65</v>
      </c>
      <c r="C15" s="847"/>
      <c r="D15" s="848">
        <v>51.1</v>
      </c>
      <c r="E15" s="848">
        <v>67.7</v>
      </c>
      <c r="F15" s="848">
        <v>77.1</v>
      </c>
      <c r="G15" s="848">
        <v>74.6</v>
      </c>
      <c r="H15" s="848">
        <v>74.1</v>
      </c>
      <c r="I15" s="848">
        <v>53.7</v>
      </c>
      <c r="J15" s="848">
        <v>65.598</v>
      </c>
      <c r="K15" s="848">
        <v>71.304</v>
      </c>
      <c r="L15" s="848">
        <v>76.605</v>
      </c>
      <c r="M15" s="848">
        <v>80.617</v>
      </c>
      <c r="N15" s="848">
        <v>81.03</v>
      </c>
      <c r="O15" s="848">
        <v>82.119</v>
      </c>
      <c r="P15" s="848">
        <v>80.535</v>
      </c>
      <c r="Q15" s="848">
        <v>80.179</v>
      </c>
      <c r="R15" s="848">
        <v>83.43</v>
      </c>
      <c r="S15" s="848">
        <v>85.732</v>
      </c>
      <c r="T15" s="849">
        <v>86.201</v>
      </c>
      <c r="U15" s="849">
        <v>92.86</v>
      </c>
      <c r="V15" s="848">
        <v>80.28</v>
      </c>
      <c r="W15" s="848">
        <v>83.35</v>
      </c>
      <c r="X15" s="848">
        <v>81.1</v>
      </c>
      <c r="Y15" s="848">
        <v>81.2</v>
      </c>
      <c r="Z15" s="848">
        <v>84.337</v>
      </c>
      <c r="AA15" s="829">
        <v>3.8633004926108327</v>
      </c>
      <c r="AB15" s="811" t="s">
        <v>65</v>
      </c>
    </row>
    <row r="16" spans="2:28" ht="12.75">
      <c r="B16" s="805" t="s">
        <v>69</v>
      </c>
      <c r="C16" s="854">
        <v>49</v>
      </c>
      <c r="D16" s="852">
        <v>65</v>
      </c>
      <c r="E16" s="852">
        <v>143.166</v>
      </c>
      <c r="F16" s="852">
        <v>148.331</v>
      </c>
      <c r="G16" s="852">
        <v>144.798</v>
      </c>
      <c r="H16" s="852">
        <v>135.225</v>
      </c>
      <c r="I16" s="852">
        <v>135.809</v>
      </c>
      <c r="J16" s="852">
        <v>141.785</v>
      </c>
      <c r="K16" s="852">
        <v>146.601</v>
      </c>
      <c r="L16" s="852">
        <v>158.158</v>
      </c>
      <c r="M16" s="852">
        <v>170.866</v>
      </c>
      <c r="N16" s="852">
        <v>188.814</v>
      </c>
      <c r="O16" s="852">
        <v>205.575</v>
      </c>
      <c r="P16" s="852">
        <v>219.51</v>
      </c>
      <c r="Q16" s="852">
        <v>233.069</v>
      </c>
      <c r="R16" s="852">
        <v>251.13</v>
      </c>
      <c r="S16" s="852">
        <v>268.082</v>
      </c>
      <c r="T16" s="852">
        <v>286.548</v>
      </c>
      <c r="U16" s="852">
        <v>318.604</v>
      </c>
      <c r="V16" s="852">
        <v>345.874</v>
      </c>
      <c r="W16" s="852">
        <v>351.307</v>
      </c>
      <c r="X16" s="852">
        <v>343.94</v>
      </c>
      <c r="Y16" s="852">
        <v>327.096</v>
      </c>
      <c r="Z16" s="852">
        <v>320.996</v>
      </c>
      <c r="AA16" s="830">
        <v>-1.8648959326925478</v>
      </c>
      <c r="AB16" s="805" t="s">
        <v>69</v>
      </c>
    </row>
    <row r="17" spans="2:28" ht="12.75">
      <c r="B17" s="811" t="s">
        <v>15</v>
      </c>
      <c r="C17" s="847">
        <v>105</v>
      </c>
      <c r="D17" s="848">
        <v>401</v>
      </c>
      <c r="E17" s="848">
        <v>766.429</v>
      </c>
      <c r="F17" s="848">
        <v>792.77</v>
      </c>
      <c r="G17" s="848">
        <v>797.788</v>
      </c>
      <c r="H17" s="848">
        <v>825.697</v>
      </c>
      <c r="I17" s="848">
        <v>849.033</v>
      </c>
      <c r="J17" s="848">
        <v>883.823</v>
      </c>
      <c r="K17" s="848">
        <v>914.827</v>
      </c>
      <c r="L17" s="848">
        <v>951.785</v>
      </c>
      <c r="M17" s="848">
        <v>987.357</v>
      </c>
      <c r="N17" s="848">
        <v>1023.987</v>
      </c>
      <c r="O17" s="848">
        <v>1057.422</v>
      </c>
      <c r="P17" s="848">
        <v>1085.811</v>
      </c>
      <c r="Q17" s="848">
        <v>1109.137</v>
      </c>
      <c r="R17" s="848">
        <v>1131.027</v>
      </c>
      <c r="S17" s="848">
        <v>1159.137</v>
      </c>
      <c r="T17" s="848">
        <v>1186.483</v>
      </c>
      <c r="U17" s="848">
        <v>1219.889</v>
      </c>
      <c r="V17" s="848">
        <v>1255.945</v>
      </c>
      <c r="W17" s="848">
        <v>1289.525</v>
      </c>
      <c r="X17" s="848">
        <v>1302.43</v>
      </c>
      <c r="Y17" s="848">
        <v>1318.768</v>
      </c>
      <c r="Z17" s="848">
        <v>1321.296</v>
      </c>
      <c r="AA17" s="829">
        <v>0.19169406597671923</v>
      </c>
      <c r="AB17" s="811" t="s">
        <v>15</v>
      </c>
    </row>
    <row r="18" spans="2:28" ht="12.75">
      <c r="B18" s="805" t="s">
        <v>67</v>
      </c>
      <c r="C18" s="854">
        <v>710</v>
      </c>
      <c r="D18" s="852">
        <v>1362.424</v>
      </c>
      <c r="E18" s="852">
        <v>2401.085</v>
      </c>
      <c r="F18" s="852">
        <v>2568.429</v>
      </c>
      <c r="G18" s="852">
        <v>2726.191</v>
      </c>
      <c r="H18" s="852">
        <v>2812.6099999999997</v>
      </c>
      <c r="I18" s="852">
        <v>2905.75</v>
      </c>
      <c r="J18" s="852">
        <v>3024.246</v>
      </c>
      <c r="K18" s="852">
        <v>3151.904</v>
      </c>
      <c r="L18" s="852">
        <v>3310.0950000000003</v>
      </c>
      <c r="M18" s="852">
        <v>3509.7509999999997</v>
      </c>
      <c r="N18" s="852">
        <v>3735.188</v>
      </c>
      <c r="O18" s="852">
        <v>3923.176</v>
      </c>
      <c r="P18" s="852">
        <v>4104.9580000000005</v>
      </c>
      <c r="Q18" s="855">
        <v>4258.889</v>
      </c>
      <c r="R18" s="852">
        <v>4363.4169999999995</v>
      </c>
      <c r="S18" s="852">
        <v>4603.418</v>
      </c>
      <c r="T18" s="852">
        <v>4849.619</v>
      </c>
      <c r="U18" s="852">
        <v>5087.311</v>
      </c>
      <c r="V18" s="852">
        <v>5353.283</v>
      </c>
      <c r="W18" s="852">
        <v>5405.585</v>
      </c>
      <c r="X18" s="852">
        <v>5342.9439999999995</v>
      </c>
      <c r="Y18" s="852">
        <v>5303.465999999999</v>
      </c>
      <c r="Z18" s="852">
        <v>5256.751</v>
      </c>
      <c r="AA18" s="830">
        <v>-0.88083905883434</v>
      </c>
      <c r="AB18" s="805" t="s">
        <v>67</v>
      </c>
    </row>
    <row r="19" spans="2:28" ht="12.75">
      <c r="B19" s="811" t="s">
        <v>68</v>
      </c>
      <c r="C19" s="847">
        <v>1504</v>
      </c>
      <c r="D19" s="848">
        <v>2457</v>
      </c>
      <c r="E19" s="848">
        <v>4670</v>
      </c>
      <c r="F19" s="848">
        <v>4763</v>
      </c>
      <c r="G19" s="848">
        <v>4781</v>
      </c>
      <c r="H19" s="848">
        <v>4814</v>
      </c>
      <c r="I19" s="848">
        <v>4881</v>
      </c>
      <c r="J19" s="848">
        <v>4926</v>
      </c>
      <c r="K19" s="848">
        <v>4976</v>
      </c>
      <c r="L19" s="849">
        <v>5100</v>
      </c>
      <c r="M19" s="848">
        <v>4951.165</v>
      </c>
      <c r="N19" s="848">
        <v>5038.224</v>
      </c>
      <c r="O19" s="848">
        <v>5151.686</v>
      </c>
      <c r="P19" s="848">
        <v>5252.29</v>
      </c>
      <c r="Q19" s="848">
        <v>5292.553000000001</v>
      </c>
      <c r="R19" s="848">
        <v>5298.447</v>
      </c>
      <c r="S19" s="848">
        <v>5314.842</v>
      </c>
      <c r="T19" s="848">
        <v>5346.693</v>
      </c>
      <c r="U19" s="848">
        <v>5344.7919999999995</v>
      </c>
      <c r="V19" s="848">
        <v>5476.045</v>
      </c>
      <c r="W19" s="848">
        <v>5212.01</v>
      </c>
      <c r="X19" s="848">
        <v>5238.642</v>
      </c>
      <c r="Y19" s="858">
        <v>5249.321351700199</v>
      </c>
      <c r="Z19" s="858">
        <v>5251.203504939157</v>
      </c>
      <c r="AA19" s="869">
        <v>0.03585517275197958</v>
      </c>
      <c r="AB19" s="811" t="s">
        <v>68</v>
      </c>
    </row>
    <row r="20" spans="2:28" ht="12.75">
      <c r="B20" s="805" t="s">
        <v>70</v>
      </c>
      <c r="C20" s="854"/>
      <c r="D20" s="852">
        <v>1290.687</v>
      </c>
      <c r="E20" s="852">
        <v>2207.903</v>
      </c>
      <c r="F20" s="852">
        <v>2292.928</v>
      </c>
      <c r="G20" s="852">
        <v>2359.847</v>
      </c>
      <c r="H20" s="852">
        <v>2389.17</v>
      </c>
      <c r="I20" s="852">
        <v>2446.323</v>
      </c>
      <c r="J20" s="852">
        <v>2509.893</v>
      </c>
      <c r="K20" s="852">
        <v>2640.102</v>
      </c>
      <c r="L20" s="852">
        <v>2719.804</v>
      </c>
      <c r="M20" s="852">
        <v>2828.003</v>
      </c>
      <c r="N20" s="852">
        <v>2946.806</v>
      </c>
      <c r="O20" s="852">
        <v>3087.008</v>
      </c>
      <c r="P20" s="852">
        <v>3234.466</v>
      </c>
      <c r="Q20" s="852">
        <v>3429.882</v>
      </c>
      <c r="R20" s="852">
        <v>3590.305</v>
      </c>
      <c r="S20" s="852">
        <v>3645.046</v>
      </c>
      <c r="T20" s="852">
        <v>3785.913</v>
      </c>
      <c r="U20" s="852">
        <v>3914.797</v>
      </c>
      <c r="V20" s="852">
        <v>3996.907</v>
      </c>
      <c r="W20" s="852">
        <v>4072.005</v>
      </c>
      <c r="X20" s="852">
        <v>4102.589</v>
      </c>
      <c r="Y20" s="852">
        <v>4141.791</v>
      </c>
      <c r="Z20" s="825">
        <v>4181.895</v>
      </c>
      <c r="AA20" s="830">
        <v>0.9682767672246229</v>
      </c>
      <c r="AB20" s="805" t="s">
        <v>70</v>
      </c>
    </row>
    <row r="21" spans="2:28" ht="12.75">
      <c r="B21" s="811" t="s">
        <v>72</v>
      </c>
      <c r="C21" s="847"/>
      <c r="D21" s="848">
        <v>23.6</v>
      </c>
      <c r="E21" s="848">
        <v>74.325</v>
      </c>
      <c r="F21" s="848"/>
      <c r="G21" s="848"/>
      <c r="H21" s="848"/>
      <c r="I21" s="848"/>
      <c r="J21" s="848">
        <v>101.184</v>
      </c>
      <c r="K21" s="848">
        <v>104.04</v>
      </c>
      <c r="L21" s="848">
        <v>105.657</v>
      </c>
      <c r="M21" s="848">
        <v>109.294</v>
      </c>
      <c r="N21" s="848">
        <v>111.135</v>
      </c>
      <c r="O21" s="848">
        <v>114.666</v>
      </c>
      <c r="P21" s="848">
        <v>117.947</v>
      </c>
      <c r="Q21" s="848">
        <v>117.792</v>
      </c>
      <c r="R21" s="848">
        <v>119.646</v>
      </c>
      <c r="S21" s="848">
        <v>117.825</v>
      </c>
      <c r="T21" s="848">
        <v>118.355</v>
      </c>
      <c r="U21" s="848">
        <v>115.723</v>
      </c>
      <c r="V21" s="848">
        <v>117.498</v>
      </c>
      <c r="W21" s="848">
        <v>121.779</v>
      </c>
      <c r="X21" s="848">
        <v>124.097</v>
      </c>
      <c r="Y21" s="848">
        <v>120.69</v>
      </c>
      <c r="Z21" s="848">
        <v>118.003</v>
      </c>
      <c r="AA21" s="829">
        <v>-2.226365067528377</v>
      </c>
      <c r="AB21" s="811" t="s">
        <v>72</v>
      </c>
    </row>
    <row r="22" spans="2:28" ht="12.75">
      <c r="B22" s="805" t="s">
        <v>73</v>
      </c>
      <c r="C22" s="854"/>
      <c r="D22" s="852"/>
      <c r="E22" s="852"/>
      <c r="F22" s="852"/>
      <c r="G22" s="852"/>
      <c r="H22" s="852"/>
      <c r="I22" s="852">
        <v>66.436</v>
      </c>
      <c r="J22" s="852">
        <v>68.668</v>
      </c>
      <c r="K22" s="852">
        <v>72.909</v>
      </c>
      <c r="L22" s="852">
        <v>76.771</v>
      </c>
      <c r="M22" s="852">
        <v>84.942</v>
      </c>
      <c r="N22" s="852">
        <v>90.22</v>
      </c>
      <c r="O22" s="852">
        <v>97.081</v>
      </c>
      <c r="P22" s="852">
        <v>99.708</v>
      </c>
      <c r="Q22" s="852">
        <v>102.734</v>
      </c>
      <c r="R22" s="852">
        <v>104.626</v>
      </c>
      <c r="S22" s="852">
        <v>107.553</v>
      </c>
      <c r="T22" s="852">
        <v>113.113</v>
      </c>
      <c r="U22" s="852">
        <v>121.12</v>
      </c>
      <c r="V22" s="852">
        <v>129.614</v>
      </c>
      <c r="W22" s="852">
        <v>129.805</v>
      </c>
      <c r="X22" s="852">
        <v>120.571</v>
      </c>
      <c r="Y22" s="856">
        <v>71.575</v>
      </c>
      <c r="Z22" s="852">
        <v>72.622</v>
      </c>
      <c r="AA22" s="830">
        <v>1.462801257422285</v>
      </c>
      <c r="AB22" s="805" t="s">
        <v>73</v>
      </c>
    </row>
    <row r="23" spans="2:28" ht="12.75">
      <c r="B23" s="811" t="s">
        <v>74</v>
      </c>
      <c r="C23" s="847"/>
      <c r="D23" s="848">
        <v>65.7</v>
      </c>
      <c r="E23" s="848">
        <v>83</v>
      </c>
      <c r="F23" s="848"/>
      <c r="G23" s="848"/>
      <c r="H23" s="848">
        <v>98.771</v>
      </c>
      <c r="I23" s="848">
        <v>101.06</v>
      </c>
      <c r="J23" s="848">
        <v>108.89099999999999</v>
      </c>
      <c r="K23" s="848">
        <v>89.283</v>
      </c>
      <c r="L23" s="848">
        <v>93.66999999999999</v>
      </c>
      <c r="M23" s="848">
        <v>99.454</v>
      </c>
      <c r="N23" s="848">
        <v>96.576</v>
      </c>
      <c r="O23" s="848">
        <v>98.613</v>
      </c>
      <c r="P23" s="848">
        <v>100.38900000000001</v>
      </c>
      <c r="Q23" s="848">
        <v>105.545</v>
      </c>
      <c r="R23" s="848">
        <v>110.517</v>
      </c>
      <c r="S23" s="848">
        <v>115.677</v>
      </c>
      <c r="T23" s="848">
        <v>122.486</v>
      </c>
      <c r="U23" s="848">
        <v>135.546</v>
      </c>
      <c r="V23" s="848">
        <v>147.583</v>
      </c>
      <c r="W23" s="848">
        <v>150.108</v>
      </c>
      <c r="X23" s="848">
        <v>146.32500000000002</v>
      </c>
      <c r="Y23" s="848">
        <v>133.921</v>
      </c>
      <c r="Z23" s="848">
        <v>136.779</v>
      </c>
      <c r="AA23" s="829">
        <v>2.134093980779724</v>
      </c>
      <c r="AB23" s="811" t="s">
        <v>74</v>
      </c>
    </row>
    <row r="24" spans="2:28" ht="12.75">
      <c r="B24" s="805" t="s">
        <v>77</v>
      </c>
      <c r="C24" s="854">
        <v>9</v>
      </c>
      <c r="D24" s="852">
        <v>9</v>
      </c>
      <c r="E24" s="852">
        <v>11.275</v>
      </c>
      <c r="F24" s="852">
        <v>12</v>
      </c>
      <c r="G24" s="852">
        <v>13</v>
      </c>
      <c r="H24" s="852">
        <v>14.641</v>
      </c>
      <c r="I24" s="852">
        <v>15.398</v>
      </c>
      <c r="J24" s="852">
        <v>15.794</v>
      </c>
      <c r="K24" s="852">
        <v>18.380000000000003</v>
      </c>
      <c r="L24" s="852">
        <v>19.378</v>
      </c>
      <c r="M24" s="852">
        <v>20.796</v>
      </c>
      <c r="N24" s="852">
        <v>22.563</v>
      </c>
      <c r="O24" s="852">
        <v>24.667</v>
      </c>
      <c r="P24" s="852">
        <v>26.304000000000002</v>
      </c>
      <c r="Q24" s="852">
        <v>26.953</v>
      </c>
      <c r="R24" s="852">
        <v>27.929</v>
      </c>
      <c r="S24" s="852">
        <v>28.426</v>
      </c>
      <c r="T24" s="852">
        <v>29.588</v>
      </c>
      <c r="U24" s="852">
        <v>30.735000000000003</v>
      </c>
      <c r="V24" s="852">
        <v>32.519999999999996</v>
      </c>
      <c r="W24" s="852">
        <v>34.408</v>
      </c>
      <c r="X24" s="852">
        <v>34.736</v>
      </c>
      <c r="Y24" s="852">
        <v>35.628</v>
      </c>
      <c r="Z24" s="852">
        <v>36.813</v>
      </c>
      <c r="AA24" s="830">
        <v>3.326035702256675</v>
      </c>
      <c r="AB24" s="805" t="s">
        <v>77</v>
      </c>
    </row>
    <row r="25" spans="2:28" ht="12.75">
      <c r="B25" s="811" t="s">
        <v>78</v>
      </c>
      <c r="C25" s="847"/>
      <c r="D25" s="848">
        <v>197</v>
      </c>
      <c r="E25" s="848">
        <v>262</v>
      </c>
      <c r="F25" s="848"/>
      <c r="G25" s="848"/>
      <c r="H25" s="848"/>
      <c r="I25" s="848"/>
      <c r="J25" s="848">
        <v>292.1</v>
      </c>
      <c r="K25" s="848">
        <v>303.1</v>
      </c>
      <c r="L25" s="848">
        <v>315.2</v>
      </c>
      <c r="M25" s="848">
        <v>337</v>
      </c>
      <c r="N25" s="848">
        <v>345.627</v>
      </c>
      <c r="O25" s="848">
        <v>366.433</v>
      </c>
      <c r="P25" s="848">
        <v>380.44100000000003</v>
      </c>
      <c r="Q25" s="848">
        <v>396.081</v>
      </c>
      <c r="R25" s="848">
        <v>406.863</v>
      </c>
      <c r="S25" s="848">
        <v>410.48600000000005</v>
      </c>
      <c r="T25" s="848">
        <v>427.648</v>
      </c>
      <c r="U25" s="848">
        <v>444.448</v>
      </c>
      <c r="V25" s="848">
        <v>459.439</v>
      </c>
      <c r="W25" s="848">
        <v>470.755</v>
      </c>
      <c r="X25" s="848">
        <v>466.72</v>
      </c>
      <c r="Y25" s="848">
        <v>464.879</v>
      </c>
      <c r="Z25" s="848">
        <v>465.686</v>
      </c>
      <c r="AA25" s="829">
        <v>0.17359355875399274</v>
      </c>
      <c r="AB25" s="811" t="s">
        <v>78</v>
      </c>
    </row>
    <row r="26" spans="2:28" ht="12.75">
      <c r="B26" s="805" t="s">
        <v>79</v>
      </c>
      <c r="C26" s="854"/>
      <c r="D26" s="852" t="s">
        <v>290</v>
      </c>
      <c r="E26" s="852" t="s">
        <v>290</v>
      </c>
      <c r="F26" s="852"/>
      <c r="G26" s="852"/>
      <c r="H26" s="852">
        <v>34.024</v>
      </c>
      <c r="I26" s="852">
        <v>37.601</v>
      </c>
      <c r="J26" s="852">
        <v>40.835</v>
      </c>
      <c r="K26" s="852">
        <v>38.431</v>
      </c>
      <c r="L26" s="852">
        <v>46.312</v>
      </c>
      <c r="M26" s="852">
        <v>48.403</v>
      </c>
      <c r="N26" s="852">
        <v>50.047</v>
      </c>
      <c r="O26" s="852">
        <v>51.463</v>
      </c>
      <c r="P26" s="852">
        <v>43.663</v>
      </c>
      <c r="Q26" s="852">
        <v>43.852000000000004</v>
      </c>
      <c r="R26" s="852">
        <v>44.657</v>
      </c>
      <c r="S26" s="852">
        <v>44.575</v>
      </c>
      <c r="T26" s="852">
        <v>44.371</v>
      </c>
      <c r="U26" s="852">
        <v>45.505</v>
      </c>
      <c r="V26" s="852">
        <v>46.853</v>
      </c>
      <c r="W26" s="852">
        <v>48.21</v>
      </c>
      <c r="X26" s="852">
        <v>47.212</v>
      </c>
      <c r="Y26" s="852">
        <v>47.554</v>
      </c>
      <c r="Z26" s="852">
        <v>48.367</v>
      </c>
      <c r="AA26" s="830">
        <v>1.7096353619043612</v>
      </c>
      <c r="AB26" s="805" t="s">
        <v>79</v>
      </c>
    </row>
    <row r="27" spans="2:28" ht="12.75">
      <c r="B27" s="811" t="s">
        <v>16</v>
      </c>
      <c r="C27" s="847">
        <v>286</v>
      </c>
      <c r="D27" s="848">
        <v>314</v>
      </c>
      <c r="E27" s="848">
        <v>553</v>
      </c>
      <c r="F27" s="848">
        <v>578</v>
      </c>
      <c r="G27" s="848">
        <v>619</v>
      </c>
      <c r="H27" s="848">
        <v>641</v>
      </c>
      <c r="I27" s="848">
        <v>644</v>
      </c>
      <c r="J27" s="848">
        <v>654</v>
      </c>
      <c r="K27" s="848">
        <v>684</v>
      </c>
      <c r="L27" s="848">
        <v>727</v>
      </c>
      <c r="M27" s="848">
        <v>795</v>
      </c>
      <c r="N27" s="848">
        <v>836.047</v>
      </c>
      <c r="O27" s="848">
        <v>898.9979999999999</v>
      </c>
      <c r="P27" s="848">
        <v>942.3130000000001</v>
      </c>
      <c r="Q27" s="848">
        <v>980.267</v>
      </c>
      <c r="R27" s="848">
        <v>1009.642</v>
      </c>
      <c r="S27" s="848">
        <v>1035.593</v>
      </c>
      <c r="T27" s="848">
        <v>1004.5060000000001</v>
      </c>
      <c r="U27" s="848">
        <v>995.733</v>
      </c>
      <c r="V27" s="848">
        <v>1010.402</v>
      </c>
      <c r="W27" s="848">
        <v>1025.906</v>
      </c>
      <c r="X27" s="848">
        <v>1017.2829999999999</v>
      </c>
      <c r="Y27" s="848">
        <v>1003.9649999999999</v>
      </c>
      <c r="Z27" s="848">
        <v>990.698</v>
      </c>
      <c r="AA27" s="829">
        <v>-1.3214604094764155</v>
      </c>
      <c r="AB27" s="811" t="s">
        <v>16</v>
      </c>
    </row>
    <row r="28" spans="2:28" ht="12.75">
      <c r="B28" s="805" t="s">
        <v>82</v>
      </c>
      <c r="C28" s="854">
        <v>122.29</v>
      </c>
      <c r="D28" s="852">
        <v>189.25</v>
      </c>
      <c r="E28" s="852">
        <v>261.84</v>
      </c>
      <c r="F28" s="852">
        <v>269.279</v>
      </c>
      <c r="G28" s="852">
        <v>279.945</v>
      </c>
      <c r="H28" s="852">
        <v>286.67900000000003</v>
      </c>
      <c r="I28" s="852">
        <v>294.92499999999995</v>
      </c>
      <c r="J28" s="852">
        <v>302.90700000000004</v>
      </c>
      <c r="K28" s="852">
        <v>306.917</v>
      </c>
      <c r="L28" s="852">
        <v>315.058</v>
      </c>
      <c r="M28" s="852">
        <v>325.335</v>
      </c>
      <c r="N28" s="852">
        <v>335.772</v>
      </c>
      <c r="O28" s="852">
        <v>344.466</v>
      </c>
      <c r="P28" s="855">
        <v>349.67</v>
      </c>
      <c r="Q28" s="852">
        <v>338.794</v>
      </c>
      <c r="R28" s="852">
        <v>345.621</v>
      </c>
      <c r="S28" s="852">
        <v>353.055</v>
      </c>
      <c r="T28" s="852">
        <v>358.049</v>
      </c>
      <c r="U28" s="852">
        <v>364.32300000000004</v>
      </c>
      <c r="V28" s="852">
        <v>372.64500000000004</v>
      </c>
      <c r="W28" s="852">
        <v>381.338</v>
      </c>
      <c r="X28" s="852">
        <v>387.972</v>
      </c>
      <c r="Y28" s="852">
        <v>396.78799999999995</v>
      </c>
      <c r="Z28" s="852">
        <v>407.452</v>
      </c>
      <c r="AA28" s="830">
        <v>2.6875812776596177</v>
      </c>
      <c r="AB28" s="805" t="s">
        <v>82</v>
      </c>
    </row>
    <row r="29" spans="2:28" ht="12.75">
      <c r="B29" s="811" t="s">
        <v>81</v>
      </c>
      <c r="C29" s="847"/>
      <c r="D29" s="848" t="s">
        <v>290</v>
      </c>
      <c r="E29" s="848" t="s">
        <v>290</v>
      </c>
      <c r="F29" s="848"/>
      <c r="G29" s="848"/>
      <c r="H29" s="848">
        <v>999.845</v>
      </c>
      <c r="I29" s="848">
        <v>1053.979</v>
      </c>
      <c r="J29" s="848">
        <v>1354.099</v>
      </c>
      <c r="K29" s="848">
        <v>1431.357</v>
      </c>
      <c r="L29" s="848">
        <v>1487.4389999999999</v>
      </c>
      <c r="M29" s="848">
        <v>1562.814</v>
      </c>
      <c r="N29" s="848">
        <v>1682.887</v>
      </c>
      <c r="O29" s="848">
        <v>1879.068</v>
      </c>
      <c r="P29" s="848">
        <v>1979.293</v>
      </c>
      <c r="Q29" s="848">
        <v>2162.614</v>
      </c>
      <c r="R29" s="848">
        <v>2313.4190000000003</v>
      </c>
      <c r="S29" s="848">
        <v>2391.605</v>
      </c>
      <c r="T29" s="848">
        <v>2304.505</v>
      </c>
      <c r="U29" s="848">
        <v>2392.658</v>
      </c>
      <c r="V29" s="848">
        <v>2520.5480000000002</v>
      </c>
      <c r="W29" s="848">
        <v>2709.697</v>
      </c>
      <c r="X29" s="848">
        <v>2796.7670000000003</v>
      </c>
      <c r="Y29" s="848">
        <v>2981.616</v>
      </c>
      <c r="Z29" s="848">
        <v>3130.729</v>
      </c>
      <c r="AA29" s="829">
        <v>5.001079951274747</v>
      </c>
      <c r="AB29" s="811" t="s">
        <v>81</v>
      </c>
    </row>
    <row r="30" spans="2:28" ht="12.75">
      <c r="B30" s="805" t="s">
        <v>93</v>
      </c>
      <c r="C30" s="854">
        <v>157</v>
      </c>
      <c r="D30" s="852">
        <v>350</v>
      </c>
      <c r="E30" s="852">
        <v>781</v>
      </c>
      <c r="F30" s="852">
        <v>847</v>
      </c>
      <c r="G30" s="852">
        <v>928</v>
      </c>
      <c r="H30" s="855">
        <v>1011</v>
      </c>
      <c r="I30" s="852">
        <v>868.246</v>
      </c>
      <c r="J30" s="852">
        <v>912.29</v>
      </c>
      <c r="K30" s="852">
        <v>969.699</v>
      </c>
      <c r="L30" s="852">
        <v>1076.556</v>
      </c>
      <c r="M30" s="852">
        <v>1105.287</v>
      </c>
      <c r="N30" s="852">
        <v>1232.312</v>
      </c>
      <c r="O30" s="852">
        <v>1313.223</v>
      </c>
      <c r="P30" s="852">
        <v>1401.305</v>
      </c>
      <c r="Q30" s="852">
        <v>1377.335</v>
      </c>
      <c r="R30" s="852">
        <v>1256.858</v>
      </c>
      <c r="S30" s="816">
        <v>1300</v>
      </c>
      <c r="T30" s="816">
        <v>1308</v>
      </c>
      <c r="U30" s="852">
        <v>1320</v>
      </c>
      <c r="V30" s="852">
        <v>1333</v>
      </c>
      <c r="W30" s="816">
        <v>1335</v>
      </c>
      <c r="X30" s="852">
        <v>1337</v>
      </c>
      <c r="Y30" s="852">
        <v>1337</v>
      </c>
      <c r="Z30" s="852">
        <v>1335.5</v>
      </c>
      <c r="AA30" s="830">
        <v>-0.11219147344802138</v>
      </c>
      <c r="AB30" s="805" t="s">
        <v>93</v>
      </c>
    </row>
    <row r="31" spans="2:28" ht="12.75">
      <c r="B31" s="811" t="s">
        <v>103</v>
      </c>
      <c r="C31" s="847"/>
      <c r="D31" s="848">
        <v>250</v>
      </c>
      <c r="E31" s="848">
        <v>258.701</v>
      </c>
      <c r="F31" s="848">
        <v>259.566</v>
      </c>
      <c r="G31" s="848">
        <v>275.487</v>
      </c>
      <c r="H31" s="848">
        <v>298.318</v>
      </c>
      <c r="I31" s="848">
        <v>322.417</v>
      </c>
      <c r="J31" s="848">
        <v>343.064</v>
      </c>
      <c r="K31" s="848">
        <v>376.817</v>
      </c>
      <c r="L31" s="848">
        <v>390.181</v>
      </c>
      <c r="M31" s="848">
        <v>405.743</v>
      </c>
      <c r="N31" s="848">
        <v>417.78</v>
      </c>
      <c r="O31" s="848">
        <v>427.152</v>
      </c>
      <c r="P31" s="848">
        <v>437.968</v>
      </c>
      <c r="Q31" s="848">
        <v>447.299</v>
      </c>
      <c r="R31" s="848">
        <v>463.099</v>
      </c>
      <c r="S31" s="848">
        <v>482.425</v>
      </c>
      <c r="T31" s="848">
        <v>493.821</v>
      </c>
      <c r="U31" s="849">
        <v>545.3</v>
      </c>
      <c r="V31" s="848">
        <v>501.957</v>
      </c>
      <c r="W31" s="848">
        <v>645.34</v>
      </c>
      <c r="X31" s="848">
        <v>661.9</v>
      </c>
      <c r="Y31" s="848">
        <v>667.219</v>
      </c>
      <c r="Z31" s="848">
        <v>696.26</v>
      </c>
      <c r="AA31" s="829">
        <v>4.352543917364457</v>
      </c>
      <c r="AB31" s="811" t="s">
        <v>103</v>
      </c>
    </row>
    <row r="32" spans="2:28" ht="12.75">
      <c r="B32" s="805" t="s">
        <v>84</v>
      </c>
      <c r="C32" s="854">
        <v>15.946</v>
      </c>
      <c r="D32" s="852">
        <v>28.455</v>
      </c>
      <c r="E32" s="852">
        <v>30.767</v>
      </c>
      <c r="F32" s="855">
        <v>30.772</v>
      </c>
      <c r="G32" s="852">
        <v>34.535000000000004</v>
      </c>
      <c r="H32" s="852">
        <v>36.976000000000006</v>
      </c>
      <c r="I32" s="852">
        <v>38.852000000000004</v>
      </c>
      <c r="J32" s="852">
        <v>42.867</v>
      </c>
      <c r="K32" s="852">
        <v>45.589</v>
      </c>
      <c r="L32" s="852">
        <v>47.88</v>
      </c>
      <c r="M32" s="852">
        <v>49.513000000000005</v>
      </c>
      <c r="N32" s="852">
        <v>51.741</v>
      </c>
      <c r="O32" s="852">
        <v>54.263</v>
      </c>
      <c r="P32" s="852">
        <v>56.114999999999995</v>
      </c>
      <c r="Q32" s="852">
        <v>57.9</v>
      </c>
      <c r="R32" s="852">
        <v>59.801</v>
      </c>
      <c r="S32" s="852">
        <v>63.178</v>
      </c>
      <c r="T32" s="852">
        <v>66.447</v>
      </c>
      <c r="U32" s="852">
        <v>70.132</v>
      </c>
      <c r="V32" s="852">
        <v>77.568</v>
      </c>
      <c r="W32" s="852">
        <v>83.909</v>
      </c>
      <c r="X32" s="852">
        <v>83.633</v>
      </c>
      <c r="Y32" s="852">
        <v>84.107</v>
      </c>
      <c r="Z32" s="852">
        <v>84.644</v>
      </c>
      <c r="AA32" s="830">
        <v>0.6384724220338569</v>
      </c>
      <c r="AB32" s="805" t="s">
        <v>84</v>
      </c>
    </row>
    <row r="33" spans="2:28" ht="12.75">
      <c r="B33" s="811" t="s">
        <v>86</v>
      </c>
      <c r="C33" s="859"/>
      <c r="D33" s="860"/>
      <c r="E33" s="860">
        <v>91.994</v>
      </c>
      <c r="F33" s="848">
        <v>95.336</v>
      </c>
      <c r="G33" s="848">
        <v>102.295</v>
      </c>
      <c r="H33" s="848">
        <v>101.552</v>
      </c>
      <c r="I33" s="848">
        <v>102.47</v>
      </c>
      <c r="J33" s="848">
        <v>102.634</v>
      </c>
      <c r="K33" s="848">
        <v>97.078</v>
      </c>
      <c r="L33" s="848">
        <v>103.68</v>
      </c>
      <c r="M33" s="848">
        <v>112.802</v>
      </c>
      <c r="N33" s="848">
        <v>118.28699999999999</v>
      </c>
      <c r="O33" s="848">
        <v>113.995</v>
      </c>
      <c r="P33" s="848">
        <v>125.393</v>
      </c>
      <c r="Q33" s="848">
        <v>137.171</v>
      </c>
      <c r="R33" s="848">
        <v>150.99099999999999</v>
      </c>
      <c r="S33" s="848">
        <v>151.83</v>
      </c>
      <c r="T33" s="848">
        <v>174.23</v>
      </c>
      <c r="U33" s="848">
        <v>189.256</v>
      </c>
      <c r="V33" s="848">
        <v>215.697</v>
      </c>
      <c r="W33" s="848">
        <v>248.66199999999998</v>
      </c>
      <c r="X33" s="848">
        <v>269.322</v>
      </c>
      <c r="Y33" s="848">
        <v>276.04900000000004</v>
      </c>
      <c r="Z33" s="848">
        <v>281.81100000000004</v>
      </c>
      <c r="AA33" s="829">
        <v>2.087310586164051</v>
      </c>
      <c r="AB33" s="811" t="s">
        <v>86</v>
      </c>
    </row>
    <row r="34" spans="2:28" ht="12.75">
      <c r="B34" s="805" t="s">
        <v>88</v>
      </c>
      <c r="C34" s="854">
        <v>103</v>
      </c>
      <c r="D34" s="852">
        <v>149</v>
      </c>
      <c r="E34" s="852">
        <v>264.157</v>
      </c>
      <c r="F34" s="852">
        <v>263.8</v>
      </c>
      <c r="G34" s="852">
        <v>263</v>
      </c>
      <c r="H34" s="852">
        <v>253.109</v>
      </c>
      <c r="I34" s="852">
        <v>246.553</v>
      </c>
      <c r="J34" s="852">
        <v>252.032</v>
      </c>
      <c r="K34" s="852">
        <v>258.697</v>
      </c>
      <c r="L34" s="852">
        <v>266.944</v>
      </c>
      <c r="M34" s="852">
        <v>280.61</v>
      </c>
      <c r="N34" s="852">
        <v>293.707</v>
      </c>
      <c r="O34" s="852">
        <v>304.318</v>
      </c>
      <c r="P34" s="852">
        <v>312.557</v>
      </c>
      <c r="Q34" s="852">
        <v>319.699</v>
      </c>
      <c r="R34" s="852">
        <v>327.122</v>
      </c>
      <c r="S34" s="852">
        <v>355.16400000000004</v>
      </c>
      <c r="T34" s="852">
        <v>363.644</v>
      </c>
      <c r="U34" s="852">
        <v>376.092</v>
      </c>
      <c r="V34" s="852">
        <v>394.718</v>
      </c>
      <c r="W34" s="852">
        <v>424.49800000000005</v>
      </c>
      <c r="X34" s="852">
        <v>443.912</v>
      </c>
      <c r="Y34" s="852">
        <v>464.408</v>
      </c>
      <c r="Z34" s="852">
        <v>488.939</v>
      </c>
      <c r="AA34" s="830">
        <v>5.2822087474806665</v>
      </c>
      <c r="AB34" s="805" t="s">
        <v>88</v>
      </c>
    </row>
    <row r="35" spans="2:28" ht="12.75">
      <c r="B35" s="811" t="s">
        <v>89</v>
      </c>
      <c r="C35" s="847">
        <v>145</v>
      </c>
      <c r="D35" s="848">
        <v>181.57</v>
      </c>
      <c r="E35" s="848">
        <v>309.52</v>
      </c>
      <c r="F35" s="848">
        <v>309.81</v>
      </c>
      <c r="G35" s="848">
        <v>304.99</v>
      </c>
      <c r="H35" s="848">
        <v>305.68600000000004</v>
      </c>
      <c r="I35" s="848">
        <v>307.916</v>
      </c>
      <c r="J35" s="848">
        <v>307.709</v>
      </c>
      <c r="K35" s="848">
        <v>311.751</v>
      </c>
      <c r="L35" s="848">
        <v>321.31</v>
      </c>
      <c r="M35" s="848">
        <v>337.973</v>
      </c>
      <c r="N35" s="848">
        <v>354.293</v>
      </c>
      <c r="O35" s="848">
        <v>374.222</v>
      </c>
      <c r="P35" s="848">
        <v>395.693</v>
      </c>
      <c r="Q35" s="848">
        <v>408.94</v>
      </c>
      <c r="R35" s="848">
        <v>421.561</v>
      </c>
      <c r="S35" s="848">
        <v>439.985</v>
      </c>
      <c r="T35" s="848">
        <v>461.161</v>
      </c>
      <c r="U35" s="848">
        <v>479.794</v>
      </c>
      <c r="V35" s="848">
        <v>504.085</v>
      </c>
      <c r="W35" s="848">
        <v>510.199</v>
      </c>
      <c r="X35" s="848">
        <v>514.576</v>
      </c>
      <c r="Y35" s="848">
        <v>526.441</v>
      </c>
      <c r="Z35" s="848">
        <v>548.272</v>
      </c>
      <c r="AA35" s="829">
        <v>4.146903451668862</v>
      </c>
      <c r="AB35" s="811" t="s">
        <v>89</v>
      </c>
    </row>
    <row r="36" spans="2:28" ht="12.75">
      <c r="B36" s="806" t="s">
        <v>13</v>
      </c>
      <c r="C36" s="861">
        <v>1749</v>
      </c>
      <c r="D36" s="862">
        <v>1828</v>
      </c>
      <c r="E36" s="862">
        <v>2706</v>
      </c>
      <c r="F36" s="862">
        <v>2640</v>
      </c>
      <c r="G36" s="862">
        <v>2639</v>
      </c>
      <c r="H36" s="862">
        <v>2589</v>
      </c>
      <c r="I36" s="862">
        <v>2585</v>
      </c>
      <c r="J36" s="862">
        <v>2565</v>
      </c>
      <c r="K36" s="862">
        <v>2618</v>
      </c>
      <c r="L36" s="863">
        <v>2679</v>
      </c>
      <c r="M36" s="862">
        <v>2789</v>
      </c>
      <c r="N36" s="862">
        <v>2872.7</v>
      </c>
      <c r="O36" s="862">
        <v>2928.3</v>
      </c>
      <c r="P36" s="862">
        <v>3019.6</v>
      </c>
      <c r="Q36" s="862">
        <v>3111.9</v>
      </c>
      <c r="R36" s="862">
        <v>3236.6</v>
      </c>
      <c r="S36" s="862">
        <v>3425.2</v>
      </c>
      <c r="T36" s="862">
        <v>3552.4</v>
      </c>
      <c r="U36" s="862">
        <v>3641.1</v>
      </c>
      <c r="V36" s="862">
        <v>3778.7000000000003</v>
      </c>
      <c r="W36" s="862">
        <v>3805.8</v>
      </c>
      <c r="X36" s="862">
        <v>3782.07</v>
      </c>
      <c r="Y36" s="862">
        <v>3796.8630000000003</v>
      </c>
      <c r="Z36" s="862">
        <v>3833.235</v>
      </c>
      <c r="AA36" s="831">
        <v>0.9579487066033039</v>
      </c>
      <c r="AB36" s="806" t="s">
        <v>13</v>
      </c>
    </row>
    <row r="37" spans="2:28" ht="12.75">
      <c r="B37" s="813" t="s">
        <v>164</v>
      </c>
      <c r="C37" s="864"/>
      <c r="D37" s="865"/>
      <c r="E37" s="848"/>
      <c r="F37" s="848"/>
      <c r="G37" s="848"/>
      <c r="H37" s="848">
        <v>51.117000000000004</v>
      </c>
      <c r="I37" s="848">
        <v>64.438</v>
      </c>
      <c r="J37" s="848">
        <v>73.497</v>
      </c>
      <c r="K37" s="848">
        <v>94.921</v>
      </c>
      <c r="L37" s="848">
        <v>109.73400000000001</v>
      </c>
      <c r="M37" s="848">
        <v>115.768</v>
      </c>
      <c r="N37" s="848">
        <v>118.70400000000001</v>
      </c>
      <c r="O37" s="848">
        <v>122.516</v>
      </c>
      <c r="P37" s="848">
        <v>129.497</v>
      </c>
      <c r="Q37" s="848">
        <v>138.74300000000002</v>
      </c>
      <c r="R37" s="848">
        <v>148.27499999999998</v>
      </c>
      <c r="S37" s="848">
        <v>154.79</v>
      </c>
      <c r="T37" s="848">
        <v>162.877</v>
      </c>
      <c r="U37" s="848">
        <v>169.69799999999998</v>
      </c>
      <c r="V37" s="848">
        <v>176.703</v>
      </c>
      <c r="W37" s="848">
        <v>180.30100000000002</v>
      </c>
      <c r="X37" s="848">
        <v>164.761</v>
      </c>
      <c r="Y37" s="848">
        <v>157.731</v>
      </c>
      <c r="Z37" s="848">
        <v>154.884</v>
      </c>
      <c r="AA37" s="829">
        <v>-1.8049717557106817</v>
      </c>
      <c r="AB37" s="811" t="s">
        <v>164</v>
      </c>
    </row>
    <row r="38" spans="2:28" ht="12.75">
      <c r="B38" s="805" t="s">
        <v>165</v>
      </c>
      <c r="C38" s="854"/>
      <c r="D38" s="852"/>
      <c r="E38" s="852"/>
      <c r="F38" s="852"/>
      <c r="G38" s="852"/>
      <c r="H38" s="852">
        <v>20.104</v>
      </c>
      <c r="I38" s="852">
        <v>20.026</v>
      </c>
      <c r="J38" s="852">
        <v>22.558</v>
      </c>
      <c r="K38" s="852">
        <v>21.937</v>
      </c>
      <c r="L38" s="852">
        <v>23.286</v>
      </c>
      <c r="M38" s="852">
        <v>23.44</v>
      </c>
      <c r="N38" s="852">
        <v>23.47</v>
      </c>
      <c r="O38" s="852">
        <v>24.628</v>
      </c>
      <c r="P38" s="852">
        <v>25.896</v>
      </c>
      <c r="Q38" s="852">
        <v>24.318</v>
      </c>
      <c r="R38" s="852">
        <v>22.994</v>
      </c>
      <c r="S38" s="852">
        <v>18.39</v>
      </c>
      <c r="T38" s="852">
        <v>18.041</v>
      </c>
      <c r="U38" s="852">
        <v>16.956</v>
      </c>
      <c r="V38" s="852">
        <v>16.556</v>
      </c>
      <c r="W38" s="852">
        <v>17.265</v>
      </c>
      <c r="X38" s="852">
        <v>18.423000000000002</v>
      </c>
      <c r="Y38" s="852">
        <v>18.249</v>
      </c>
      <c r="Z38" s="816">
        <v>17.823562354575447</v>
      </c>
      <c r="AA38" s="830">
        <v>-2.3312929224864547</v>
      </c>
      <c r="AB38" s="805" t="s">
        <v>165</v>
      </c>
    </row>
    <row r="39" spans="2:28" ht="12.75">
      <c r="B39" s="812" t="s">
        <v>166</v>
      </c>
      <c r="C39" s="866"/>
      <c r="D39" s="867" t="s">
        <v>290</v>
      </c>
      <c r="E39" s="867" t="s">
        <v>290</v>
      </c>
      <c r="F39" s="867"/>
      <c r="G39" s="867">
        <v>687.59</v>
      </c>
      <c r="H39" s="867">
        <v>760.6880000000001</v>
      </c>
      <c r="I39" s="867">
        <v>793.847</v>
      </c>
      <c r="J39" s="867">
        <v>829.9590000000001</v>
      </c>
      <c r="K39" s="867">
        <v>896.5840000000001</v>
      </c>
      <c r="L39" s="867">
        <v>1018.909</v>
      </c>
      <c r="M39" s="867">
        <v>1145.7530000000002</v>
      </c>
      <c r="N39" s="867">
        <v>1224.625</v>
      </c>
      <c r="O39" s="867">
        <v>1351.754</v>
      </c>
      <c r="P39" s="867">
        <v>1395.2379999999998</v>
      </c>
      <c r="Q39" s="867">
        <v>1442.533</v>
      </c>
      <c r="R39" s="867">
        <v>1552.467</v>
      </c>
      <c r="S39" s="867">
        <v>1907.2869999999998</v>
      </c>
      <c r="T39" s="867">
        <v>2151.986</v>
      </c>
      <c r="U39" s="867">
        <v>2405.159</v>
      </c>
      <c r="V39" s="867">
        <v>2619.661</v>
      </c>
      <c r="W39" s="867">
        <v>2810.224</v>
      </c>
      <c r="X39" s="867">
        <v>2932.253</v>
      </c>
      <c r="Y39" s="867">
        <v>3125.397</v>
      </c>
      <c r="Z39" s="867">
        <v>3339.562</v>
      </c>
      <c r="AA39" s="832">
        <v>6.852409469900934</v>
      </c>
      <c r="AB39" s="812" t="s">
        <v>166</v>
      </c>
    </row>
    <row r="40" spans="2:28" ht="12.75">
      <c r="B40" s="804" t="s">
        <v>167</v>
      </c>
      <c r="C40" s="868"/>
      <c r="D40" s="846" t="s">
        <v>290</v>
      </c>
      <c r="E40" s="846">
        <v>13.122</v>
      </c>
      <c r="F40" s="846">
        <v>14.623000000000001</v>
      </c>
      <c r="G40" s="846">
        <v>14.844999999999999</v>
      </c>
      <c r="H40" s="846">
        <v>14.451</v>
      </c>
      <c r="I40" s="846">
        <v>14.348</v>
      </c>
      <c r="J40" s="846">
        <v>14.757</v>
      </c>
      <c r="K40" s="846">
        <v>15.260000000000002</v>
      </c>
      <c r="L40" s="846">
        <v>16.028</v>
      </c>
      <c r="M40" s="846">
        <v>16.549999999999997</v>
      </c>
      <c r="N40" s="846">
        <v>17.807</v>
      </c>
      <c r="O40" s="846">
        <v>19.432</v>
      </c>
      <c r="P40" s="846">
        <v>19.990000000000002</v>
      </c>
      <c r="Q40" s="846">
        <v>20.278</v>
      </c>
      <c r="R40" s="846">
        <v>21.235</v>
      </c>
      <c r="S40" s="846">
        <v>23.035</v>
      </c>
      <c r="T40" s="846">
        <v>25.544</v>
      </c>
      <c r="U40" s="846">
        <v>28.087</v>
      </c>
      <c r="V40" s="846">
        <v>31.095</v>
      </c>
      <c r="W40" s="846">
        <v>31.819</v>
      </c>
      <c r="X40" s="846">
        <v>30.923000000000002</v>
      </c>
      <c r="Y40" s="846">
        <v>30.437</v>
      </c>
      <c r="Z40" s="846">
        <v>30.209</v>
      </c>
      <c r="AA40" s="828">
        <v>-0.7490882807109926</v>
      </c>
      <c r="AB40" s="804" t="s">
        <v>167</v>
      </c>
    </row>
    <row r="41" spans="2:28" ht="12.75">
      <c r="B41" s="811" t="s">
        <v>168</v>
      </c>
      <c r="C41" s="847"/>
      <c r="D41" s="848" t="s">
        <v>290</v>
      </c>
      <c r="E41" s="848">
        <v>308.299</v>
      </c>
      <c r="F41" s="848">
        <v>311.063</v>
      </c>
      <c r="G41" s="848">
        <v>314.882</v>
      </c>
      <c r="H41" s="848">
        <v>323.387</v>
      </c>
      <c r="I41" s="848">
        <v>335.779</v>
      </c>
      <c r="J41" s="848">
        <v>349.504</v>
      </c>
      <c r="K41" s="848">
        <v>358.128</v>
      </c>
      <c r="L41" s="848">
        <v>377.01200000000006</v>
      </c>
      <c r="M41" s="848">
        <v>390.829</v>
      </c>
      <c r="N41" s="848">
        <v>403.039</v>
      </c>
      <c r="O41" s="848">
        <v>414.34</v>
      </c>
      <c r="P41" s="848">
        <v>426.977</v>
      </c>
      <c r="Q41" s="848">
        <v>431.028</v>
      </c>
      <c r="R41" s="848">
        <v>438.28200000000004</v>
      </c>
      <c r="S41" s="848">
        <v>449.801</v>
      </c>
      <c r="T41" s="848">
        <v>465.439</v>
      </c>
      <c r="U41" s="848">
        <v>488.565</v>
      </c>
      <c r="V41" s="848">
        <v>513.673</v>
      </c>
      <c r="W41" s="848">
        <v>523.35</v>
      </c>
      <c r="X41" s="848">
        <v>524.151</v>
      </c>
      <c r="Y41" s="848">
        <v>527.041</v>
      </c>
      <c r="Z41" s="848">
        <v>534.261</v>
      </c>
      <c r="AA41" s="829">
        <v>1.369912397707182</v>
      </c>
      <c r="AB41" s="811" t="s">
        <v>168</v>
      </c>
    </row>
    <row r="42" spans="2:28" ht="12.75">
      <c r="B42" s="805" t="s">
        <v>169</v>
      </c>
      <c r="C42" s="854">
        <v>106.997</v>
      </c>
      <c r="D42" s="852">
        <v>169.402</v>
      </c>
      <c r="E42" s="852">
        <v>252.136</v>
      </c>
      <c r="F42" s="852">
        <v>257.646</v>
      </c>
      <c r="G42" s="852">
        <v>256.611</v>
      </c>
      <c r="H42" s="852">
        <v>253.461</v>
      </c>
      <c r="I42" s="852">
        <v>256.285</v>
      </c>
      <c r="J42" s="852">
        <v>262.352</v>
      </c>
      <c r="K42" s="852">
        <v>263.02</v>
      </c>
      <c r="L42" s="852">
        <v>264.2</v>
      </c>
      <c r="M42" s="852">
        <v>267.38</v>
      </c>
      <c r="N42" s="852">
        <v>273.954</v>
      </c>
      <c r="O42" s="852">
        <v>278.518</v>
      </c>
      <c r="P42" s="852">
        <v>285.246</v>
      </c>
      <c r="Q42" s="852">
        <v>290.142</v>
      </c>
      <c r="R42" s="852">
        <v>292.329</v>
      </c>
      <c r="S42" s="852">
        <v>298.193</v>
      </c>
      <c r="T42" s="852">
        <v>307.161</v>
      </c>
      <c r="U42" s="852">
        <v>314.04</v>
      </c>
      <c r="V42" s="852">
        <v>324.153</v>
      </c>
      <c r="W42" s="852">
        <v>326.232</v>
      </c>
      <c r="X42" s="852">
        <v>327.808</v>
      </c>
      <c r="Y42" s="852">
        <v>335.2</v>
      </c>
      <c r="Z42" s="852">
        <v>348.553</v>
      </c>
      <c r="AA42" s="830">
        <v>3.983591885441527</v>
      </c>
      <c r="AB42" s="805" t="s">
        <v>169</v>
      </c>
    </row>
    <row r="43" spans="2:28" ht="12.75">
      <c r="B43" s="812" t="s">
        <v>284</v>
      </c>
      <c r="C43" s="866"/>
      <c r="D43" s="867"/>
      <c r="E43" s="867"/>
      <c r="F43" s="867"/>
      <c r="G43" s="867"/>
      <c r="H43" s="867"/>
      <c r="I43" s="867"/>
      <c r="J43" s="867"/>
      <c r="K43" s="867"/>
      <c r="L43" s="867"/>
      <c r="M43" s="867"/>
      <c r="N43" s="867">
        <v>2.884</v>
      </c>
      <c r="O43" s="867">
        <v>2.46</v>
      </c>
      <c r="P43" s="867">
        <v>2.6</v>
      </c>
      <c r="Q43" s="867">
        <v>2.665</v>
      </c>
      <c r="R43" s="867">
        <v>2.56</v>
      </c>
      <c r="S43" s="867">
        <v>2.591</v>
      </c>
      <c r="T43" s="867">
        <v>2.579</v>
      </c>
      <c r="U43" s="867">
        <v>2.525</v>
      </c>
      <c r="V43" s="867">
        <v>2.566</v>
      </c>
      <c r="W43" s="867">
        <v>2.696</v>
      </c>
      <c r="X43" s="867">
        <v>2.712</v>
      </c>
      <c r="Y43" s="867">
        <v>2.791</v>
      </c>
      <c r="Z43" s="867">
        <v>2.89</v>
      </c>
      <c r="AA43" s="832">
        <v>3.5471157291293594</v>
      </c>
      <c r="AB43" s="812" t="s">
        <v>284</v>
      </c>
    </row>
    <row r="44" spans="2:28" ht="12.75">
      <c r="B44" s="1118" t="s">
        <v>291</v>
      </c>
      <c r="C44" s="1118"/>
      <c r="D44" s="1118"/>
      <c r="E44" s="1118"/>
      <c r="F44" s="1118"/>
      <c r="G44" s="1118"/>
      <c r="H44" s="1118"/>
      <c r="I44" s="1118"/>
      <c r="J44" s="1118"/>
      <c r="K44" s="1118"/>
      <c r="L44" s="1118"/>
      <c r="M44" s="1118"/>
      <c r="N44" s="1118"/>
      <c r="O44" s="1118"/>
      <c r="P44" s="1118"/>
      <c r="Q44" s="1118"/>
      <c r="R44" s="1118"/>
      <c r="S44" s="1118"/>
      <c r="T44" s="1118"/>
      <c r="U44" s="1119"/>
      <c r="V44" s="1119"/>
      <c r="W44" s="1119"/>
      <c r="X44" s="1119"/>
      <c r="Y44" s="1119"/>
      <c r="Z44" s="1119"/>
      <c r="AA44" s="1119"/>
      <c r="AB44" s="1119"/>
    </row>
    <row r="45" spans="2:28" ht="12.75">
      <c r="B45" s="1120" t="s">
        <v>245</v>
      </c>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row>
    <row r="46" spans="2:28" ht="12.75">
      <c r="B46" s="1114" t="s">
        <v>292</v>
      </c>
      <c r="C46" s="1114"/>
      <c r="D46" s="1114"/>
      <c r="E46" s="1114"/>
      <c r="F46" s="1114"/>
      <c r="G46" s="1114"/>
      <c r="H46" s="1114"/>
      <c r="I46" s="1114"/>
      <c r="J46" s="1114"/>
      <c r="K46" s="1114"/>
      <c r="L46" s="1114"/>
      <c r="M46" s="1114"/>
      <c r="N46" s="1114"/>
      <c r="O46" s="1114"/>
      <c r="P46" s="1114"/>
      <c r="Q46" s="1114"/>
      <c r="R46" s="1114"/>
      <c r="S46" s="1114"/>
      <c r="T46" s="1114"/>
      <c r="U46" s="1114"/>
      <c r="V46" s="1114"/>
      <c r="W46" s="1114"/>
      <c r="X46" s="1114"/>
      <c r="Y46" s="1114"/>
      <c r="Z46" s="1114"/>
      <c r="AA46" s="1114"/>
      <c r="AB46" s="1114"/>
    </row>
    <row r="47" spans="2:28" ht="12.75">
      <c r="B47" s="1114" t="s">
        <v>293</v>
      </c>
      <c r="C47" s="1114"/>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row>
    <row r="48" spans="2:28" ht="12.75">
      <c r="B48" s="801" t="s">
        <v>294</v>
      </c>
      <c r="C48" s="800"/>
      <c r="D48" s="800"/>
      <c r="E48" s="800"/>
      <c r="F48" s="799"/>
      <c r="G48" s="799"/>
      <c r="H48" s="799"/>
      <c r="I48" s="799"/>
      <c r="J48" s="799"/>
      <c r="K48" s="799"/>
      <c r="L48" s="799"/>
      <c r="M48" s="799"/>
      <c r="N48" s="799"/>
      <c r="O48" s="799"/>
      <c r="P48" s="799"/>
      <c r="Q48" s="799"/>
      <c r="R48" s="799"/>
      <c r="S48" s="799"/>
      <c r="T48" s="799"/>
      <c r="U48" s="874"/>
      <c r="V48" s="874"/>
      <c r="W48" s="874"/>
      <c r="X48" s="874"/>
      <c r="Y48" s="874"/>
      <c r="Z48" s="874"/>
      <c r="AA48" s="799"/>
      <c r="AB48" s="799"/>
    </row>
  </sheetData>
  <sheetProtection/>
  <mergeCells count="7">
    <mergeCell ref="B46:AB46"/>
    <mergeCell ref="B47:AB47"/>
    <mergeCell ref="B1:C1"/>
    <mergeCell ref="B2:AB2"/>
    <mergeCell ref="B3:AB3"/>
    <mergeCell ref="B44:AB44"/>
    <mergeCell ref="B45:AB4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00"/>
  </sheetPr>
  <dimension ref="A1:U49"/>
  <sheetViews>
    <sheetView zoomScalePageLayoutView="0" workbookViewId="0" topLeftCell="C1">
      <selection activeCell="M36" sqref="M10:M36"/>
    </sheetView>
  </sheetViews>
  <sheetFormatPr defaultColWidth="9.140625" defaultRowHeight="12.75"/>
  <sheetData>
    <row r="1" spans="1:21" ht="15.75">
      <c r="A1" s="799"/>
      <c r="B1" s="798"/>
      <c r="C1" s="815"/>
      <c r="D1" s="815"/>
      <c r="E1" s="815"/>
      <c r="F1" s="815"/>
      <c r="G1" s="815"/>
      <c r="H1" s="809"/>
      <c r="I1" s="809"/>
      <c r="J1" s="799"/>
      <c r="K1" s="799"/>
      <c r="L1" s="799"/>
      <c r="M1" s="799"/>
      <c r="N1" s="799"/>
      <c r="O1" s="799"/>
      <c r="P1" s="799"/>
      <c r="Q1" s="799"/>
      <c r="R1" s="799"/>
      <c r="S1" s="799"/>
      <c r="T1" s="799"/>
      <c r="U1" s="807" t="s">
        <v>295</v>
      </c>
    </row>
    <row r="2" spans="1:21" ht="15.75">
      <c r="A2" s="876"/>
      <c r="B2" s="1123" t="s">
        <v>296</v>
      </c>
      <c r="C2" s="1123"/>
      <c r="D2" s="1123"/>
      <c r="E2" s="1123"/>
      <c r="F2" s="1123"/>
      <c r="G2" s="1123"/>
      <c r="H2" s="1123"/>
      <c r="I2" s="1123"/>
      <c r="J2" s="1123"/>
      <c r="K2" s="1123"/>
      <c r="L2" s="1123"/>
      <c r="M2" s="1123"/>
      <c r="N2" s="1123"/>
      <c r="O2" s="1123"/>
      <c r="P2" s="1123"/>
      <c r="Q2" s="1123"/>
      <c r="R2" s="1123"/>
      <c r="S2" s="1123"/>
      <c r="T2" s="1123"/>
      <c r="U2" s="1123"/>
    </row>
    <row r="3" spans="1:21" ht="12.75">
      <c r="A3" s="799"/>
      <c r="B3" s="1124" t="s">
        <v>282</v>
      </c>
      <c r="C3" s="1124"/>
      <c r="D3" s="1124"/>
      <c r="E3" s="1124"/>
      <c r="F3" s="1124"/>
      <c r="G3" s="1124"/>
      <c r="H3" s="1124"/>
      <c r="I3" s="1124"/>
      <c r="J3" s="1124"/>
      <c r="K3" s="1124"/>
      <c r="L3" s="1124"/>
      <c r="M3" s="1124"/>
      <c r="N3" s="1124"/>
      <c r="O3" s="1124"/>
      <c r="P3" s="1124"/>
      <c r="Q3" s="1124"/>
      <c r="R3" s="1124"/>
      <c r="S3" s="1124"/>
      <c r="T3" s="1124"/>
      <c r="U3" s="1124"/>
    </row>
    <row r="4" spans="1:21" ht="12.75">
      <c r="A4" s="799"/>
      <c r="B4" s="802"/>
      <c r="C4" s="802"/>
      <c r="D4" s="802"/>
      <c r="E4" s="802"/>
      <c r="F4" s="802"/>
      <c r="G4" s="802"/>
      <c r="H4" s="808"/>
      <c r="I4" s="799"/>
      <c r="J4" s="799"/>
      <c r="K4" s="799"/>
      <c r="L4" s="799"/>
      <c r="M4" s="799"/>
      <c r="N4" s="799"/>
      <c r="O4" s="799"/>
      <c r="P4" s="810"/>
      <c r="Q4" s="810" t="s">
        <v>283</v>
      </c>
      <c r="R4" s="814"/>
      <c r="S4" s="814"/>
      <c r="T4" s="799"/>
      <c r="U4" s="814"/>
    </row>
    <row r="5" spans="1:21" ht="18.75">
      <c r="A5" s="799"/>
      <c r="B5" s="802"/>
      <c r="C5" s="818">
        <v>1995</v>
      </c>
      <c r="D5" s="819">
        <v>1996</v>
      </c>
      <c r="E5" s="819">
        <v>1997</v>
      </c>
      <c r="F5" s="819">
        <v>1998</v>
      </c>
      <c r="G5" s="819">
        <v>1999</v>
      </c>
      <c r="H5" s="819">
        <v>2000</v>
      </c>
      <c r="I5" s="819">
        <v>2001</v>
      </c>
      <c r="J5" s="819">
        <v>2002</v>
      </c>
      <c r="K5" s="819">
        <v>2003</v>
      </c>
      <c r="L5" s="819">
        <v>2004</v>
      </c>
      <c r="M5" s="819">
        <v>2005</v>
      </c>
      <c r="N5" s="819">
        <v>2006</v>
      </c>
      <c r="O5" s="819">
        <v>2007</v>
      </c>
      <c r="P5" s="819">
        <v>2008</v>
      </c>
      <c r="Q5" s="819">
        <v>2009</v>
      </c>
      <c r="R5" s="819">
        <v>2010</v>
      </c>
      <c r="S5" s="819">
        <v>2011</v>
      </c>
      <c r="T5" s="824" t="s">
        <v>159</v>
      </c>
      <c r="U5" s="803"/>
    </row>
    <row r="6" spans="1:21" ht="12.75">
      <c r="A6" s="799"/>
      <c r="B6" s="802"/>
      <c r="C6" s="877"/>
      <c r="D6" s="878"/>
      <c r="E6" s="878"/>
      <c r="F6" s="878"/>
      <c r="G6" s="878"/>
      <c r="H6" s="878"/>
      <c r="I6" s="878"/>
      <c r="J6" s="878"/>
      <c r="K6" s="878"/>
      <c r="L6" s="878"/>
      <c r="M6" s="878"/>
      <c r="N6" s="878"/>
      <c r="O6" s="878"/>
      <c r="P6" s="878"/>
      <c r="Q6" s="878"/>
      <c r="R6" s="878"/>
      <c r="S6" s="878"/>
      <c r="T6" s="890" t="s">
        <v>160</v>
      </c>
      <c r="U6" s="803"/>
    </row>
    <row r="7" spans="1:21" ht="12.75">
      <c r="A7" s="799"/>
      <c r="B7" s="813" t="s">
        <v>161</v>
      </c>
      <c r="C7" s="886"/>
      <c r="D7" s="885"/>
      <c r="E7" s="885"/>
      <c r="F7" s="885"/>
      <c r="G7" s="885"/>
      <c r="H7" s="837">
        <v>23367.352999999992</v>
      </c>
      <c r="I7" s="837">
        <v>26105.311000000005</v>
      </c>
      <c r="J7" s="837">
        <v>27062.322000000007</v>
      </c>
      <c r="K7" s="837">
        <v>27944.93999999999</v>
      </c>
      <c r="L7" s="837">
        <v>28450.276000000005</v>
      </c>
      <c r="M7" s="837">
        <v>29703.468</v>
      </c>
      <c r="N7" s="837">
        <v>30724.232999999993</v>
      </c>
      <c r="O7" s="837">
        <v>32797.479</v>
      </c>
      <c r="P7" s="837">
        <v>33993.883</v>
      </c>
      <c r="Q7" s="837">
        <v>34048.409</v>
      </c>
      <c r="R7" s="837">
        <v>34229.037</v>
      </c>
      <c r="S7" s="820">
        <v>34681.709</v>
      </c>
      <c r="T7" s="891">
        <v>1.3224795076765048</v>
      </c>
      <c r="U7" s="879" t="s">
        <v>161</v>
      </c>
    </row>
    <row r="8" spans="1:21" ht="12.75">
      <c r="A8" s="801"/>
      <c r="B8" s="811" t="s">
        <v>162</v>
      </c>
      <c r="C8" s="887"/>
      <c r="D8" s="892"/>
      <c r="E8" s="892"/>
      <c r="F8" s="892"/>
      <c r="G8" s="892"/>
      <c r="H8" s="892">
        <v>20805.457</v>
      </c>
      <c r="I8" s="892">
        <v>23530.213</v>
      </c>
      <c r="J8" s="892">
        <v>24366.145000000008</v>
      </c>
      <c r="K8" s="892">
        <v>25275.67</v>
      </c>
      <c r="L8" s="892">
        <v>26163.246000000003</v>
      </c>
      <c r="M8" s="892">
        <v>27127.553999999996</v>
      </c>
      <c r="N8" s="892">
        <v>28072.128999999997</v>
      </c>
      <c r="O8" s="892">
        <v>30020.042999999998</v>
      </c>
      <c r="P8" s="892">
        <v>30849.023999999998</v>
      </c>
      <c r="Q8" s="892">
        <v>30673.923000000003</v>
      </c>
      <c r="R8" s="892">
        <v>30698.010000000006</v>
      </c>
      <c r="S8" s="898">
        <v>30932.783</v>
      </c>
      <c r="T8" s="893">
        <v>0.7647824728703796</v>
      </c>
      <c r="U8" s="880" t="s">
        <v>162</v>
      </c>
    </row>
    <row r="9" spans="1:21" ht="12.75">
      <c r="A9" s="801"/>
      <c r="B9" s="812" t="s">
        <v>163</v>
      </c>
      <c r="C9" s="888"/>
      <c r="D9" s="894"/>
      <c r="E9" s="894"/>
      <c r="F9" s="894"/>
      <c r="G9" s="894"/>
      <c r="H9" s="894">
        <v>2561.8959999999934</v>
      </c>
      <c r="I9" s="894">
        <v>2575.0980000000054</v>
      </c>
      <c r="J9" s="894">
        <v>2696.1769999999997</v>
      </c>
      <c r="K9" s="894">
        <v>2669.269999999993</v>
      </c>
      <c r="L9" s="894">
        <v>2287.0300000000025</v>
      </c>
      <c r="M9" s="894">
        <v>2575.9140000000043</v>
      </c>
      <c r="N9" s="894">
        <v>2652.1039999999957</v>
      </c>
      <c r="O9" s="894">
        <v>2777.4360000000015</v>
      </c>
      <c r="P9" s="894">
        <v>3144.859000000004</v>
      </c>
      <c r="Q9" s="894">
        <v>3374.485999999997</v>
      </c>
      <c r="R9" s="894">
        <v>3531.026999999991</v>
      </c>
      <c r="S9" s="894">
        <v>3748.926000000003</v>
      </c>
      <c r="T9" s="895">
        <v>6.170980850614072</v>
      </c>
      <c r="U9" s="881" t="s">
        <v>163</v>
      </c>
    </row>
    <row r="10" spans="1:21" ht="12.75">
      <c r="A10" s="875"/>
      <c r="B10" s="804" t="s">
        <v>61</v>
      </c>
      <c r="C10" s="868"/>
      <c r="D10" s="846">
        <v>212.432</v>
      </c>
      <c r="E10" s="846">
        <v>225.317</v>
      </c>
      <c r="F10" s="846">
        <v>241.11</v>
      </c>
      <c r="G10" s="846">
        <v>260.567</v>
      </c>
      <c r="H10" s="846">
        <v>277.838</v>
      </c>
      <c r="I10" s="846">
        <v>293.63</v>
      </c>
      <c r="J10" s="846">
        <v>305.51</v>
      </c>
      <c r="K10" s="846">
        <v>319.48</v>
      </c>
      <c r="L10" s="846">
        <v>322.762</v>
      </c>
      <c r="M10" s="846">
        <v>346.293</v>
      </c>
      <c r="N10" s="846">
        <v>359.764</v>
      </c>
      <c r="O10" s="846">
        <v>374.743</v>
      </c>
      <c r="P10" s="846">
        <v>388.28</v>
      </c>
      <c r="Q10" s="846">
        <v>403.94</v>
      </c>
      <c r="R10" s="846">
        <v>418.915</v>
      </c>
      <c r="S10" s="846">
        <v>433.958</v>
      </c>
      <c r="T10" s="828">
        <v>3.5909432701144652</v>
      </c>
      <c r="U10" s="882" t="s">
        <v>61</v>
      </c>
    </row>
    <row r="11" spans="1:21" ht="12.75">
      <c r="A11" s="875"/>
      <c r="B11" s="811" t="s">
        <v>102</v>
      </c>
      <c r="C11" s="847">
        <v>519.3</v>
      </c>
      <c r="D11" s="848">
        <v>521.7</v>
      </c>
      <c r="E11" s="848">
        <v>525</v>
      </c>
      <c r="F11" s="848">
        <v>515.7</v>
      </c>
      <c r="G11" s="848">
        <v>519.2</v>
      </c>
      <c r="H11" s="848">
        <v>520.5</v>
      </c>
      <c r="I11" s="848">
        <v>524.1</v>
      </c>
      <c r="J11" s="848">
        <v>528.3</v>
      </c>
      <c r="K11" s="849">
        <v>533.7</v>
      </c>
      <c r="L11" s="848">
        <v>137.7</v>
      </c>
      <c r="M11" s="849">
        <v>146.5</v>
      </c>
      <c r="N11" s="848">
        <v>76.254</v>
      </c>
      <c r="O11" s="848">
        <v>90.318</v>
      </c>
      <c r="P11" s="848">
        <v>106.911</v>
      </c>
      <c r="Q11" s="848">
        <v>117.595</v>
      </c>
      <c r="R11" s="848">
        <v>125.4</v>
      </c>
      <c r="S11" s="848">
        <v>131.8</v>
      </c>
      <c r="T11" s="829">
        <v>5.103668261563016</v>
      </c>
      <c r="U11" s="880" t="s">
        <v>102</v>
      </c>
    </row>
    <row r="12" spans="1:21" ht="12.75">
      <c r="A12" s="875"/>
      <c r="B12" s="805" t="s">
        <v>62</v>
      </c>
      <c r="C12" s="854">
        <v>915.229</v>
      </c>
      <c r="D12" s="852">
        <v>918.159</v>
      </c>
      <c r="E12" s="852">
        <v>929.627</v>
      </c>
      <c r="F12" s="855">
        <v>927.08</v>
      </c>
      <c r="G12" s="852">
        <v>799.647</v>
      </c>
      <c r="H12" s="852">
        <v>748.14</v>
      </c>
      <c r="I12" s="852">
        <v>755.482</v>
      </c>
      <c r="J12" s="852">
        <v>760.219</v>
      </c>
      <c r="K12" s="852">
        <v>751.634</v>
      </c>
      <c r="L12" s="852">
        <v>756.559</v>
      </c>
      <c r="M12" s="852">
        <v>794</v>
      </c>
      <c r="N12" s="852">
        <v>822.703</v>
      </c>
      <c r="O12" s="852">
        <v>860.131</v>
      </c>
      <c r="P12" s="852">
        <v>892.796</v>
      </c>
      <c r="Q12" s="852">
        <v>903.346</v>
      </c>
      <c r="R12" s="852">
        <v>924.291</v>
      </c>
      <c r="S12" s="852">
        <v>944.171</v>
      </c>
      <c r="T12" s="830">
        <v>2.1508377772800884</v>
      </c>
      <c r="U12" s="883" t="s">
        <v>62</v>
      </c>
    </row>
    <row r="13" spans="1:21" ht="12.75">
      <c r="A13" s="875"/>
      <c r="B13" s="811" t="s">
        <v>14</v>
      </c>
      <c r="C13" s="847">
        <v>58.014</v>
      </c>
      <c r="D13" s="848">
        <v>73.85</v>
      </c>
      <c r="E13" s="848">
        <v>93.875</v>
      </c>
      <c r="F13" s="848">
        <v>112.12</v>
      </c>
      <c r="G13" s="848">
        <v>126.938</v>
      </c>
      <c r="H13" s="848">
        <v>138.31</v>
      </c>
      <c r="I13" s="848">
        <v>146.365</v>
      </c>
      <c r="J13" s="848">
        <v>151.322</v>
      </c>
      <c r="K13" s="848">
        <v>155.74</v>
      </c>
      <c r="L13" s="848">
        <v>162.128</v>
      </c>
      <c r="M13" s="849">
        <v>171.917</v>
      </c>
      <c r="N13" s="848">
        <v>184.036</v>
      </c>
      <c r="O13" s="848">
        <v>197.177</v>
      </c>
      <c r="P13" s="848">
        <v>204.76999999999998</v>
      </c>
      <c r="Q13" s="848">
        <v>205.23899999999998</v>
      </c>
      <c r="R13" s="848">
        <v>203.608</v>
      </c>
      <c r="S13" s="848">
        <v>200.597</v>
      </c>
      <c r="T13" s="829">
        <v>-1.4788220502141343</v>
      </c>
      <c r="U13" s="880" t="s">
        <v>14</v>
      </c>
    </row>
    <row r="14" spans="1:21" ht="12.75">
      <c r="A14" s="875"/>
      <c r="B14" s="805" t="s">
        <v>64</v>
      </c>
      <c r="C14" s="854">
        <v>3995.4849999999997</v>
      </c>
      <c r="D14" s="855">
        <v>4137.446</v>
      </c>
      <c r="E14" s="852">
        <v>3730.756</v>
      </c>
      <c r="F14" s="852">
        <v>4174.346</v>
      </c>
      <c r="G14" s="852">
        <v>4389.201</v>
      </c>
      <c r="H14" s="852">
        <v>4438.082</v>
      </c>
      <c r="I14" s="852">
        <v>4667.149</v>
      </c>
      <c r="J14" s="852">
        <v>4677.885</v>
      </c>
      <c r="K14" s="852">
        <v>4863.807</v>
      </c>
      <c r="L14" s="852">
        <v>5077.982</v>
      </c>
      <c r="M14" s="852">
        <v>5202.901</v>
      </c>
      <c r="N14" s="852">
        <v>5405.9</v>
      </c>
      <c r="O14" s="852">
        <v>5549.967</v>
      </c>
      <c r="P14" s="852">
        <v>5852.283</v>
      </c>
      <c r="Q14" s="852">
        <v>5866.765</v>
      </c>
      <c r="R14" s="852">
        <v>5870.889999999999</v>
      </c>
      <c r="S14" s="852">
        <v>6004.233</v>
      </c>
      <c r="T14" s="830">
        <v>2.27125699851301</v>
      </c>
      <c r="U14" s="883" t="s">
        <v>64</v>
      </c>
    </row>
    <row r="15" spans="1:21" ht="12.75">
      <c r="A15" s="875"/>
      <c r="B15" s="811" t="s">
        <v>65</v>
      </c>
      <c r="C15" s="847">
        <v>3.3</v>
      </c>
      <c r="D15" s="848">
        <v>4.7</v>
      </c>
      <c r="E15" s="848">
        <v>5.3</v>
      </c>
      <c r="F15" s="848">
        <v>6.1</v>
      </c>
      <c r="G15" s="848">
        <v>6.7</v>
      </c>
      <c r="H15" s="848">
        <v>6.7</v>
      </c>
      <c r="I15" s="848">
        <v>6.8</v>
      </c>
      <c r="J15" s="848">
        <v>7.3</v>
      </c>
      <c r="K15" s="848">
        <v>8.1</v>
      </c>
      <c r="L15" s="848">
        <v>9.1</v>
      </c>
      <c r="M15" s="848">
        <v>10.234</v>
      </c>
      <c r="N15" s="848">
        <v>12.594</v>
      </c>
      <c r="O15" s="848">
        <v>14.78</v>
      </c>
      <c r="P15" s="848">
        <v>17.622</v>
      </c>
      <c r="Q15" s="848">
        <v>18.6</v>
      </c>
      <c r="R15" s="848">
        <v>19.7</v>
      </c>
      <c r="S15" s="897">
        <v>23.217</v>
      </c>
      <c r="T15" s="829">
        <v>17.852791878172596</v>
      </c>
      <c r="U15" s="880" t="s">
        <v>65</v>
      </c>
    </row>
    <row r="16" spans="1:21" ht="12.75">
      <c r="A16" s="875"/>
      <c r="B16" s="805" t="s">
        <v>69</v>
      </c>
      <c r="C16" s="854">
        <v>23.452</v>
      </c>
      <c r="D16" s="852">
        <v>23.847</v>
      </c>
      <c r="E16" s="852">
        <v>24.424</v>
      </c>
      <c r="F16" s="852">
        <v>24.398</v>
      </c>
      <c r="G16" s="852">
        <v>26.677</v>
      </c>
      <c r="H16" s="852">
        <v>30.638</v>
      </c>
      <c r="I16" s="852">
        <v>32.913</v>
      </c>
      <c r="J16" s="852">
        <v>33.147</v>
      </c>
      <c r="K16" s="852">
        <v>35.094</v>
      </c>
      <c r="L16" s="852">
        <v>34.854</v>
      </c>
      <c r="M16" s="852">
        <v>34.3</v>
      </c>
      <c r="N16" s="852">
        <v>34.927</v>
      </c>
      <c r="O16" s="852">
        <v>37.178</v>
      </c>
      <c r="P16" s="852">
        <v>39.409</v>
      </c>
      <c r="Q16" s="852">
        <v>39.552</v>
      </c>
      <c r="R16" s="852">
        <v>38.145</v>
      </c>
      <c r="S16" s="852">
        <v>36.582</v>
      </c>
      <c r="T16" s="830">
        <v>-4.097522611089261</v>
      </c>
      <c r="U16" s="883" t="s">
        <v>69</v>
      </c>
    </row>
    <row r="17" spans="1:21" ht="12.75">
      <c r="A17" s="875"/>
      <c r="B17" s="811" t="s">
        <v>15</v>
      </c>
      <c r="C17" s="847"/>
      <c r="D17" s="848"/>
      <c r="E17" s="848"/>
      <c r="F17" s="848"/>
      <c r="G17" s="848"/>
      <c r="H17" s="848">
        <v>781.361</v>
      </c>
      <c r="I17" s="848">
        <v>853.366</v>
      </c>
      <c r="J17" s="848">
        <v>910.555</v>
      </c>
      <c r="K17" s="848">
        <v>969.895</v>
      </c>
      <c r="L17" s="848">
        <v>1042.605</v>
      </c>
      <c r="M17" s="848">
        <v>1124.172</v>
      </c>
      <c r="N17" s="848">
        <v>1205.816</v>
      </c>
      <c r="O17" s="848">
        <v>1298.688</v>
      </c>
      <c r="P17" s="848">
        <v>1388.607</v>
      </c>
      <c r="Q17" s="848">
        <v>1448.851</v>
      </c>
      <c r="R17" s="848">
        <v>1499.133</v>
      </c>
      <c r="S17" s="848">
        <v>1534.902</v>
      </c>
      <c r="T17" s="829">
        <v>2.385979095917449</v>
      </c>
      <c r="U17" s="880" t="s">
        <v>15</v>
      </c>
    </row>
    <row r="18" spans="1:21" ht="12.75">
      <c r="A18" s="875"/>
      <c r="B18" s="805" t="s">
        <v>67</v>
      </c>
      <c r="C18" s="854">
        <v>1301.18</v>
      </c>
      <c r="D18" s="852">
        <v>1308.208</v>
      </c>
      <c r="E18" s="852">
        <v>1326.333</v>
      </c>
      <c r="F18" s="852">
        <v>1361.155</v>
      </c>
      <c r="G18" s="852">
        <v>1403.771</v>
      </c>
      <c r="H18" s="855">
        <v>1445.644</v>
      </c>
      <c r="I18" s="852">
        <v>3290.2</v>
      </c>
      <c r="J18" s="852">
        <v>3561.45</v>
      </c>
      <c r="K18" s="852">
        <v>3657.1189999999997</v>
      </c>
      <c r="L18" s="852">
        <v>3854.1279999999997</v>
      </c>
      <c r="M18" s="852">
        <v>4117.6</v>
      </c>
      <c r="N18" s="852">
        <v>4401.146</v>
      </c>
      <c r="O18" s="852">
        <v>4741.76</v>
      </c>
      <c r="P18" s="852">
        <v>4911.504</v>
      </c>
      <c r="Q18" s="852">
        <v>4958.879</v>
      </c>
      <c r="R18" s="852">
        <v>4997.689</v>
      </c>
      <c r="S18" s="852">
        <v>5027.461</v>
      </c>
      <c r="T18" s="830">
        <v>0.5957153396299617</v>
      </c>
      <c r="U18" s="883" t="s">
        <v>67</v>
      </c>
    </row>
    <row r="19" spans="1:21" ht="12.75">
      <c r="A19" s="875"/>
      <c r="B19" s="811" t="s">
        <v>68</v>
      </c>
      <c r="C19" s="847">
        <v>2289</v>
      </c>
      <c r="D19" s="848">
        <v>2278</v>
      </c>
      <c r="E19" s="848">
        <v>2298</v>
      </c>
      <c r="F19" s="848">
        <v>2321</v>
      </c>
      <c r="G19" s="848">
        <v>2373</v>
      </c>
      <c r="H19" s="848">
        <v>2410</v>
      </c>
      <c r="I19" s="848">
        <v>2440</v>
      </c>
      <c r="J19" s="848">
        <v>2441</v>
      </c>
      <c r="K19" s="848">
        <v>2448</v>
      </c>
      <c r="L19" s="848">
        <v>2462</v>
      </c>
      <c r="M19" s="848">
        <v>2475.306</v>
      </c>
      <c r="N19" s="848">
        <v>2543.5609999999997</v>
      </c>
      <c r="O19" s="896">
        <v>3740</v>
      </c>
      <c r="P19" s="848">
        <v>3857</v>
      </c>
      <c r="Q19" s="848">
        <v>3532</v>
      </c>
      <c r="R19" s="848">
        <v>3560.951</v>
      </c>
      <c r="S19" s="848">
        <v>3439.417</v>
      </c>
      <c r="T19" s="829">
        <v>-3.4129646827490774</v>
      </c>
      <c r="U19" s="880" t="s">
        <v>68</v>
      </c>
    </row>
    <row r="20" spans="1:21" ht="12.75">
      <c r="A20" s="875"/>
      <c r="B20" s="805" t="s">
        <v>70</v>
      </c>
      <c r="C20" s="854">
        <v>6228.295</v>
      </c>
      <c r="D20" s="852">
        <v>6391.235000000001</v>
      </c>
      <c r="E20" s="852">
        <v>6429.514</v>
      </c>
      <c r="F20" s="852">
        <v>6823.323</v>
      </c>
      <c r="G20" s="852">
        <v>7406.797</v>
      </c>
      <c r="H20" s="852">
        <v>7826.906</v>
      </c>
      <c r="I20" s="852">
        <v>8228.119</v>
      </c>
      <c r="J20" s="852">
        <v>8578.386</v>
      </c>
      <c r="K20" s="852">
        <v>8962.399000000001</v>
      </c>
      <c r="L20" s="852">
        <v>9207.043000000001</v>
      </c>
      <c r="M20" s="852">
        <v>9298.359</v>
      </c>
      <c r="N20" s="852">
        <v>9338.818</v>
      </c>
      <c r="O20" s="852">
        <v>9280.259</v>
      </c>
      <c r="P20" s="852">
        <v>9180.094000000001</v>
      </c>
      <c r="Q20" s="852">
        <v>9018.098</v>
      </c>
      <c r="R20" s="852">
        <v>8855.032</v>
      </c>
      <c r="S20" s="852">
        <v>8935.447</v>
      </c>
      <c r="T20" s="830">
        <v>0.9081277176638167</v>
      </c>
      <c r="U20" s="883" t="s">
        <v>70</v>
      </c>
    </row>
    <row r="21" spans="1:21" ht="12.75">
      <c r="A21" s="875"/>
      <c r="B21" s="811" t="s">
        <v>72</v>
      </c>
      <c r="C21" s="847">
        <v>50.393</v>
      </c>
      <c r="D21" s="848"/>
      <c r="E21" s="848"/>
      <c r="F21" s="848">
        <v>44.337</v>
      </c>
      <c r="G21" s="848">
        <v>44.756</v>
      </c>
      <c r="H21" s="848">
        <v>43.315</v>
      </c>
      <c r="I21" s="848">
        <v>41.985</v>
      </c>
      <c r="J21" s="848">
        <v>40.276</v>
      </c>
      <c r="K21" s="848">
        <v>41.516</v>
      </c>
      <c r="L21" s="848">
        <v>41.396</v>
      </c>
      <c r="M21" s="848">
        <v>40.381</v>
      </c>
      <c r="N21" s="848">
        <v>40.359</v>
      </c>
      <c r="O21" s="848">
        <v>41.211</v>
      </c>
      <c r="P21" s="848">
        <v>43.219</v>
      </c>
      <c r="Q21" s="848">
        <v>42.69</v>
      </c>
      <c r="R21" s="848">
        <v>40.727000000000004</v>
      </c>
      <c r="S21" s="848">
        <v>39.803</v>
      </c>
      <c r="T21" s="829">
        <v>-2.2687651926240733</v>
      </c>
      <c r="U21" s="880" t="s">
        <v>72</v>
      </c>
    </row>
    <row r="22" spans="1:21" ht="12.75">
      <c r="A22" s="875"/>
      <c r="B22" s="805" t="s">
        <v>73</v>
      </c>
      <c r="C22" s="854">
        <v>15.792</v>
      </c>
      <c r="D22" s="852">
        <v>18.444</v>
      </c>
      <c r="E22" s="852">
        <v>19.267</v>
      </c>
      <c r="F22" s="852">
        <v>19.409</v>
      </c>
      <c r="G22" s="852">
        <v>20.057</v>
      </c>
      <c r="H22" s="855">
        <v>20.732</v>
      </c>
      <c r="I22" s="852">
        <v>21.37</v>
      </c>
      <c r="J22" s="852">
        <v>22.16</v>
      </c>
      <c r="K22" s="855">
        <v>22.88</v>
      </c>
      <c r="L22" s="852">
        <v>29.924999999999997</v>
      </c>
      <c r="M22" s="852">
        <v>32.477000000000004</v>
      </c>
      <c r="N22" s="852">
        <v>36.874</v>
      </c>
      <c r="O22" s="852">
        <v>44.412</v>
      </c>
      <c r="P22" s="852">
        <v>51.284000000000006</v>
      </c>
      <c r="Q22" s="852">
        <v>51.96300000000001</v>
      </c>
      <c r="R22" s="856">
        <v>36.674</v>
      </c>
      <c r="S22" s="852">
        <v>38.623000000000005</v>
      </c>
      <c r="T22" s="830">
        <v>5.314391667121129</v>
      </c>
      <c r="U22" s="883" t="s">
        <v>73</v>
      </c>
    </row>
    <row r="23" spans="1:21" ht="12.75">
      <c r="A23" s="875"/>
      <c r="B23" s="811" t="s">
        <v>74</v>
      </c>
      <c r="C23" s="847">
        <v>20.033</v>
      </c>
      <c r="D23" s="848">
        <v>19.402</v>
      </c>
      <c r="E23" s="848">
        <v>19.128</v>
      </c>
      <c r="F23" s="848">
        <v>19.266</v>
      </c>
      <c r="G23" s="848">
        <v>19.515</v>
      </c>
      <c r="H23" s="848">
        <v>19.842</v>
      </c>
      <c r="I23" s="848">
        <v>20.244</v>
      </c>
      <c r="J23" s="848">
        <v>21.017</v>
      </c>
      <c r="K23" s="848">
        <v>21.873</v>
      </c>
      <c r="L23" s="848">
        <v>22.861</v>
      </c>
      <c r="M23" s="848">
        <v>24.027</v>
      </c>
      <c r="N23" s="849">
        <v>25.478</v>
      </c>
      <c r="O23" s="896">
        <v>35.27</v>
      </c>
      <c r="P23" s="848">
        <v>45.617000000000004</v>
      </c>
      <c r="Q23" s="848">
        <v>51.372</v>
      </c>
      <c r="R23" s="848">
        <v>56.271</v>
      </c>
      <c r="S23" s="848">
        <v>60.123999999999995</v>
      </c>
      <c r="T23" s="829">
        <v>6.847221481757913</v>
      </c>
      <c r="U23" s="880" t="s">
        <v>74</v>
      </c>
    </row>
    <row r="24" spans="1:21" ht="12.75">
      <c r="A24" s="875"/>
      <c r="B24" s="805" t="s">
        <v>77</v>
      </c>
      <c r="C24" s="889">
        <v>28.405</v>
      </c>
      <c r="D24" s="852">
        <v>28.900999999999996</v>
      </c>
      <c r="E24" s="852">
        <v>29.674</v>
      </c>
      <c r="F24" s="852">
        <v>30.587999999999997</v>
      </c>
      <c r="G24" s="852">
        <v>31.762</v>
      </c>
      <c r="H24" s="852">
        <v>32.774</v>
      </c>
      <c r="I24" s="852">
        <v>33.576</v>
      </c>
      <c r="J24" s="852">
        <v>34.701</v>
      </c>
      <c r="K24" s="852">
        <v>35.959</v>
      </c>
      <c r="L24" s="852">
        <v>36.909</v>
      </c>
      <c r="M24" s="852">
        <v>37.739000000000004</v>
      </c>
      <c r="N24" s="852">
        <v>38.638</v>
      </c>
      <c r="O24" s="852">
        <v>39.479</v>
      </c>
      <c r="P24" s="852">
        <v>40.285</v>
      </c>
      <c r="Q24" s="852">
        <v>41.251</v>
      </c>
      <c r="R24" s="852">
        <v>42.093</v>
      </c>
      <c r="S24" s="852">
        <v>43.335</v>
      </c>
      <c r="T24" s="830">
        <v>2.950609364977552</v>
      </c>
      <c r="U24" s="883" t="s">
        <v>77</v>
      </c>
    </row>
    <row r="25" spans="1:21" ht="12.75">
      <c r="A25" s="875"/>
      <c r="B25" s="811" t="s">
        <v>78</v>
      </c>
      <c r="C25" s="847"/>
      <c r="D25" s="848"/>
      <c r="E25" s="848"/>
      <c r="F25" s="848"/>
      <c r="G25" s="848">
        <v>87.573</v>
      </c>
      <c r="H25" s="848">
        <v>91.193</v>
      </c>
      <c r="I25" s="848">
        <v>93.088</v>
      </c>
      <c r="J25" s="848">
        <v>97.593</v>
      </c>
      <c r="K25" s="848">
        <v>103.493</v>
      </c>
      <c r="L25" s="848">
        <v>114.038</v>
      </c>
      <c r="M25" s="848">
        <v>122.705</v>
      </c>
      <c r="N25" s="848">
        <v>130.188</v>
      </c>
      <c r="O25" s="848">
        <v>135.865</v>
      </c>
      <c r="P25" s="848">
        <v>141.54</v>
      </c>
      <c r="Q25" s="848">
        <v>141.956</v>
      </c>
      <c r="R25" s="848">
        <v>142.251</v>
      </c>
      <c r="S25" s="848">
        <v>147.382</v>
      </c>
      <c r="T25" s="829">
        <v>3.6070045201791174</v>
      </c>
      <c r="U25" s="880" t="s">
        <v>78</v>
      </c>
    </row>
    <row r="26" spans="1:21" ht="12.75">
      <c r="A26" s="875"/>
      <c r="B26" s="805" t="s">
        <v>79</v>
      </c>
      <c r="C26" s="854">
        <v>17.411</v>
      </c>
      <c r="D26" s="852">
        <v>11.663</v>
      </c>
      <c r="E26" s="852">
        <v>13.881</v>
      </c>
      <c r="F26" s="852">
        <v>14.847</v>
      </c>
      <c r="G26" s="852">
        <v>11.87</v>
      </c>
      <c r="H26" s="852">
        <v>12.402</v>
      </c>
      <c r="I26" s="852">
        <v>12.83</v>
      </c>
      <c r="J26" s="852">
        <v>13.324</v>
      </c>
      <c r="K26" s="852">
        <v>13.667</v>
      </c>
      <c r="L26" s="852">
        <v>12.782</v>
      </c>
      <c r="M26" s="852">
        <v>11.992999999999999</v>
      </c>
      <c r="N26" s="852">
        <v>12.286</v>
      </c>
      <c r="O26" s="852">
        <v>12.791</v>
      </c>
      <c r="P26" s="852">
        <v>14.413000000000002</v>
      </c>
      <c r="Q26" s="852">
        <v>14.38</v>
      </c>
      <c r="R26" s="852">
        <v>14.831000000000001</v>
      </c>
      <c r="S26" s="852">
        <v>15.507000000000001</v>
      </c>
      <c r="T26" s="830">
        <v>4.558020362753695</v>
      </c>
      <c r="U26" s="883" t="s">
        <v>79</v>
      </c>
    </row>
    <row r="27" spans="1:21" ht="12.75">
      <c r="A27" s="875"/>
      <c r="B27" s="811" t="s">
        <v>16</v>
      </c>
      <c r="C27" s="847">
        <v>854.9929999999999</v>
      </c>
      <c r="D27" s="848">
        <v>888</v>
      </c>
      <c r="E27" s="848">
        <v>916</v>
      </c>
      <c r="F27" s="848">
        <v>997.425</v>
      </c>
      <c r="G27" s="848">
        <v>933.989</v>
      </c>
      <c r="H27" s="848">
        <v>970.798</v>
      </c>
      <c r="I27" s="848">
        <v>964.822</v>
      </c>
      <c r="J27" s="848">
        <v>1002.45</v>
      </c>
      <c r="K27" s="848">
        <v>1015.567</v>
      </c>
      <c r="L27" s="848">
        <v>1038.934</v>
      </c>
      <c r="M27" s="848">
        <v>1112.949</v>
      </c>
      <c r="N27" s="848">
        <v>1279.703</v>
      </c>
      <c r="O27" s="848">
        <v>1371.6129999999998</v>
      </c>
      <c r="P27" s="848">
        <v>1479.476</v>
      </c>
      <c r="Q27" s="848">
        <v>1579.143</v>
      </c>
      <c r="R27" s="848">
        <v>1664.295</v>
      </c>
      <c r="S27" s="858">
        <v>1675.091</v>
      </c>
      <c r="T27" s="829">
        <v>0.64868307601715</v>
      </c>
      <c r="U27" s="880" t="s">
        <v>16</v>
      </c>
    </row>
    <row r="28" spans="1:21" ht="12.75">
      <c r="A28" s="875"/>
      <c r="B28" s="805" t="s">
        <v>82</v>
      </c>
      <c r="C28" s="854">
        <v>546.412</v>
      </c>
      <c r="D28" s="852">
        <v>560.191</v>
      </c>
      <c r="E28" s="852">
        <v>575.72</v>
      </c>
      <c r="F28" s="852">
        <v>600.731</v>
      </c>
      <c r="G28" s="852">
        <v>622.927</v>
      </c>
      <c r="H28" s="852">
        <v>632.712</v>
      </c>
      <c r="I28" s="855">
        <v>641.434</v>
      </c>
      <c r="J28" s="852">
        <v>596.8240000000001</v>
      </c>
      <c r="K28" s="852">
        <v>606.8679999999999</v>
      </c>
      <c r="L28" s="852">
        <v>612.16</v>
      </c>
      <c r="M28" s="852">
        <v>627.711</v>
      </c>
      <c r="N28" s="852">
        <v>645.313</v>
      </c>
      <c r="O28" s="852">
        <v>667.577</v>
      </c>
      <c r="P28" s="852">
        <v>691.2429999999999</v>
      </c>
      <c r="Q28" s="852">
        <v>712.092</v>
      </c>
      <c r="R28" s="852">
        <v>727.852</v>
      </c>
      <c r="S28" s="852">
        <v>743.429</v>
      </c>
      <c r="T28" s="830">
        <v>2.1401328841577794</v>
      </c>
      <c r="U28" s="883" t="s">
        <v>82</v>
      </c>
    </row>
    <row r="29" spans="1:21" ht="12.75">
      <c r="A29" s="875"/>
      <c r="B29" s="811" t="s">
        <v>81</v>
      </c>
      <c r="C29" s="847">
        <v>929</v>
      </c>
      <c r="D29" s="848"/>
      <c r="E29" s="848"/>
      <c r="F29" s="848">
        <v>820</v>
      </c>
      <c r="G29" s="848">
        <v>804</v>
      </c>
      <c r="H29" s="849">
        <v>803</v>
      </c>
      <c r="I29" s="848">
        <v>803</v>
      </c>
      <c r="J29" s="848">
        <v>869</v>
      </c>
      <c r="K29" s="848">
        <v>845.456</v>
      </c>
      <c r="L29" s="849">
        <v>835.79</v>
      </c>
      <c r="M29" s="848">
        <v>1091.159</v>
      </c>
      <c r="N29" s="848">
        <v>1190.093</v>
      </c>
      <c r="O29" s="848">
        <v>1350.789</v>
      </c>
      <c r="P29" s="848">
        <v>1607.316</v>
      </c>
      <c r="Q29" s="848">
        <v>1808.723</v>
      </c>
      <c r="R29" s="848">
        <v>1935.1399999999999</v>
      </c>
      <c r="S29" s="848">
        <v>2102.175</v>
      </c>
      <c r="T29" s="829">
        <v>8.63167522763213</v>
      </c>
      <c r="U29" s="880" t="s">
        <v>81</v>
      </c>
    </row>
    <row r="30" spans="1:21" ht="12.75">
      <c r="A30" s="875"/>
      <c r="B30" s="805" t="s">
        <v>93</v>
      </c>
      <c r="C30" s="854">
        <v>216.296</v>
      </c>
      <c r="D30" s="852">
        <v>240.946</v>
      </c>
      <c r="E30" s="852">
        <v>271.708</v>
      </c>
      <c r="F30" s="852">
        <v>301.045</v>
      </c>
      <c r="G30" s="852">
        <v>323.854</v>
      </c>
      <c r="H30" s="852">
        <v>345.903</v>
      </c>
      <c r="I30" s="852">
        <v>368.063</v>
      </c>
      <c r="J30" s="852">
        <v>386.969</v>
      </c>
      <c r="K30" s="852">
        <v>402.759</v>
      </c>
      <c r="L30" s="855">
        <v>418.704</v>
      </c>
      <c r="M30" s="852">
        <v>588.42</v>
      </c>
      <c r="N30" s="852">
        <v>558.72</v>
      </c>
      <c r="O30" s="852">
        <v>536.645</v>
      </c>
      <c r="P30" s="852">
        <v>535</v>
      </c>
      <c r="Q30" s="852">
        <v>533.27</v>
      </c>
      <c r="R30" s="852">
        <v>498</v>
      </c>
      <c r="S30" s="852">
        <v>497</v>
      </c>
      <c r="T30" s="830">
        <v>-0.20080321285141167</v>
      </c>
      <c r="U30" s="883" t="s">
        <v>93</v>
      </c>
    </row>
    <row r="31" spans="1:21" ht="12.75">
      <c r="A31" s="875"/>
      <c r="B31" s="811" t="s">
        <v>103</v>
      </c>
      <c r="C31" s="847">
        <v>327.724</v>
      </c>
      <c r="D31" s="848">
        <v>254.996</v>
      </c>
      <c r="E31" s="848">
        <v>250.51</v>
      </c>
      <c r="F31" s="848">
        <v>245.719</v>
      </c>
      <c r="G31" s="848">
        <v>242.58300000000003</v>
      </c>
      <c r="H31" s="848">
        <v>239.20800000000003</v>
      </c>
      <c r="I31" s="848">
        <v>237.90099999999998</v>
      </c>
      <c r="J31" s="848">
        <v>238.48000000000002</v>
      </c>
      <c r="K31" s="848">
        <v>235.85</v>
      </c>
      <c r="L31" s="848">
        <v>234.702</v>
      </c>
      <c r="M31" s="848">
        <v>197.401</v>
      </c>
      <c r="N31" s="849">
        <v>193.981</v>
      </c>
      <c r="O31" s="896">
        <v>56.479</v>
      </c>
      <c r="P31" s="848">
        <v>71.827</v>
      </c>
      <c r="Q31" s="848">
        <v>79.99</v>
      </c>
      <c r="R31" s="848">
        <v>85.171</v>
      </c>
      <c r="S31" s="848">
        <v>90.082</v>
      </c>
      <c r="T31" s="829">
        <v>5.766047128717517</v>
      </c>
      <c r="U31" s="880" t="s">
        <v>103</v>
      </c>
    </row>
    <row r="32" spans="1:21" ht="12.75">
      <c r="A32" s="875"/>
      <c r="B32" s="805" t="s">
        <v>84</v>
      </c>
      <c r="C32" s="854">
        <v>8.546</v>
      </c>
      <c r="D32" s="852">
        <v>8.173</v>
      </c>
      <c r="E32" s="852">
        <v>8.283</v>
      </c>
      <c r="F32" s="852">
        <v>9.14</v>
      </c>
      <c r="G32" s="852">
        <v>9.906</v>
      </c>
      <c r="H32" s="855">
        <v>11.217</v>
      </c>
      <c r="I32" s="855">
        <v>11.622</v>
      </c>
      <c r="J32" s="852">
        <v>50.608</v>
      </c>
      <c r="K32" s="852">
        <v>42.392</v>
      </c>
      <c r="L32" s="852">
        <v>40.2</v>
      </c>
      <c r="M32" s="852">
        <v>48.671</v>
      </c>
      <c r="N32" s="852">
        <v>53.193</v>
      </c>
      <c r="O32" s="852">
        <v>71.493</v>
      </c>
      <c r="P32" s="852">
        <v>81.99600000000001</v>
      </c>
      <c r="Q32" s="852">
        <v>88.428</v>
      </c>
      <c r="R32" s="852">
        <v>91.00800000000001</v>
      </c>
      <c r="S32" s="852">
        <v>92.18299999999999</v>
      </c>
      <c r="T32" s="830">
        <v>1.2910952883262752</v>
      </c>
      <c r="U32" s="883" t="s">
        <v>84</v>
      </c>
    </row>
    <row r="33" spans="1:21" ht="12.75">
      <c r="A33" s="875"/>
      <c r="B33" s="811" t="s">
        <v>86</v>
      </c>
      <c r="C33" s="847">
        <v>81.847</v>
      </c>
      <c r="D33" s="848">
        <v>79.479</v>
      </c>
      <c r="E33" s="848">
        <v>81.062</v>
      </c>
      <c r="F33" s="849">
        <v>100.891</v>
      </c>
      <c r="G33" s="848">
        <v>44.215</v>
      </c>
      <c r="H33" s="848">
        <v>45.647</v>
      </c>
      <c r="I33" s="848">
        <v>46.676</v>
      </c>
      <c r="J33" s="848">
        <v>47.9</v>
      </c>
      <c r="K33" s="848">
        <v>48.709</v>
      </c>
      <c r="L33" s="848">
        <v>51.977</v>
      </c>
      <c r="M33" s="848">
        <v>56.366</v>
      </c>
      <c r="N33" s="848">
        <v>58.101</v>
      </c>
      <c r="O33" s="848">
        <v>63.897</v>
      </c>
      <c r="P33" s="848">
        <v>70.318</v>
      </c>
      <c r="Q33" s="848">
        <v>55.443</v>
      </c>
      <c r="R33" s="848">
        <v>59.563</v>
      </c>
      <c r="S33" s="848">
        <v>63.859</v>
      </c>
      <c r="T33" s="829">
        <v>7.21253126941221</v>
      </c>
      <c r="U33" s="880" t="s">
        <v>86</v>
      </c>
    </row>
    <row r="34" spans="1:21" ht="12.75">
      <c r="A34" s="875"/>
      <c r="B34" s="805" t="s">
        <v>88</v>
      </c>
      <c r="C34" s="854">
        <v>159.525</v>
      </c>
      <c r="D34" s="852">
        <v>162.788</v>
      </c>
      <c r="E34" s="852">
        <v>166.614</v>
      </c>
      <c r="F34" s="852">
        <v>173.325</v>
      </c>
      <c r="G34" s="852">
        <v>183.188</v>
      </c>
      <c r="H34" s="852">
        <v>193.422</v>
      </c>
      <c r="I34" s="852">
        <v>206.235</v>
      </c>
      <c r="J34" s="852">
        <v>223.577</v>
      </c>
      <c r="K34" s="852">
        <v>245.382</v>
      </c>
      <c r="L34" s="852">
        <v>271.72</v>
      </c>
      <c r="M34" s="852">
        <v>301.805</v>
      </c>
      <c r="N34" s="852">
        <v>338.443</v>
      </c>
      <c r="O34" s="852">
        <v>376.53200000000004</v>
      </c>
      <c r="P34" s="852">
        <v>421.544</v>
      </c>
      <c r="Q34" s="852">
        <v>456.197</v>
      </c>
      <c r="R34" s="852">
        <v>486.766</v>
      </c>
      <c r="S34" s="852">
        <v>516</v>
      </c>
      <c r="T34" s="830">
        <v>6.005760468068843</v>
      </c>
      <c r="U34" s="883" t="s">
        <v>88</v>
      </c>
    </row>
    <row r="35" spans="1:21" ht="12.75">
      <c r="A35" s="875"/>
      <c r="B35" s="811" t="s">
        <v>89</v>
      </c>
      <c r="C35" s="847">
        <v>264.18</v>
      </c>
      <c r="D35" s="848">
        <v>272.715</v>
      </c>
      <c r="E35" s="848">
        <v>279.421</v>
      </c>
      <c r="F35" s="848">
        <v>285.92</v>
      </c>
      <c r="G35" s="848">
        <v>300.46000000000004</v>
      </c>
      <c r="H35" s="848">
        <v>310.069</v>
      </c>
      <c r="I35" s="848">
        <v>336.341</v>
      </c>
      <c r="J35" s="848">
        <v>372.369</v>
      </c>
      <c r="K35" s="848">
        <v>395.601</v>
      </c>
      <c r="L35" s="848">
        <v>403.317</v>
      </c>
      <c r="M35" s="848">
        <v>453.082</v>
      </c>
      <c r="N35" s="848">
        <v>497.744</v>
      </c>
      <c r="O35" s="848">
        <v>528.125</v>
      </c>
      <c r="P35" s="848">
        <v>553.929</v>
      </c>
      <c r="Q35" s="848">
        <v>571.89</v>
      </c>
      <c r="R35" s="848">
        <v>570.24</v>
      </c>
      <c r="S35" s="848">
        <v>578.495</v>
      </c>
      <c r="T35" s="829">
        <v>1.4476360830527426</v>
      </c>
      <c r="U35" s="880" t="s">
        <v>89</v>
      </c>
    </row>
    <row r="36" spans="1:21" ht="12.75">
      <c r="A36" s="875"/>
      <c r="B36" s="806" t="s">
        <v>13</v>
      </c>
      <c r="C36" s="861">
        <v>714</v>
      </c>
      <c r="D36" s="862">
        <v>752</v>
      </c>
      <c r="E36" s="862">
        <v>766</v>
      </c>
      <c r="F36" s="862">
        <v>828</v>
      </c>
      <c r="G36" s="862">
        <v>905</v>
      </c>
      <c r="H36" s="862">
        <v>971</v>
      </c>
      <c r="I36" s="862">
        <v>1028</v>
      </c>
      <c r="J36" s="862">
        <v>1090</v>
      </c>
      <c r="K36" s="862">
        <v>1162</v>
      </c>
      <c r="L36" s="862">
        <v>1218</v>
      </c>
      <c r="M36" s="862">
        <v>1235</v>
      </c>
      <c r="N36" s="862">
        <v>1239.6</v>
      </c>
      <c r="O36" s="862">
        <v>1280.3</v>
      </c>
      <c r="P36" s="862">
        <v>1305.6</v>
      </c>
      <c r="Q36" s="862">
        <v>1306.7559999999999</v>
      </c>
      <c r="R36" s="862">
        <v>1264.401</v>
      </c>
      <c r="S36" s="862">
        <v>1266.836</v>
      </c>
      <c r="T36" s="831">
        <v>0.19258130925237538</v>
      </c>
      <c r="U36" s="884" t="s">
        <v>13</v>
      </c>
    </row>
    <row r="37" spans="1:21" ht="12.75">
      <c r="A37" s="875"/>
      <c r="B37" s="811" t="s">
        <v>164</v>
      </c>
      <c r="C37" s="848">
        <v>9.933</v>
      </c>
      <c r="D37" s="848">
        <v>14.128</v>
      </c>
      <c r="E37" s="848">
        <v>17.401</v>
      </c>
      <c r="F37" s="848">
        <v>18.957</v>
      </c>
      <c r="G37" s="848">
        <v>20.499</v>
      </c>
      <c r="H37" s="865">
        <v>21.868</v>
      </c>
      <c r="I37" s="849">
        <v>24.305</v>
      </c>
      <c r="J37" s="848">
        <v>85.217</v>
      </c>
      <c r="K37" s="848">
        <v>99.137</v>
      </c>
      <c r="L37" s="848">
        <v>112.907</v>
      </c>
      <c r="M37" s="848">
        <v>128.382</v>
      </c>
      <c r="N37" s="848">
        <v>143.486</v>
      </c>
      <c r="O37" s="848">
        <v>162.744</v>
      </c>
      <c r="P37" s="848">
        <v>183.814</v>
      </c>
      <c r="Q37" s="848">
        <v>184.483</v>
      </c>
      <c r="R37" s="848">
        <v>176.773</v>
      </c>
      <c r="S37" s="848">
        <v>175.042</v>
      </c>
      <c r="T37" s="829">
        <v>-0.979221940002148</v>
      </c>
      <c r="U37" s="880" t="s">
        <v>164</v>
      </c>
    </row>
    <row r="38" spans="1:21" ht="12.75">
      <c r="A38" s="875"/>
      <c r="B38" s="805" t="s">
        <v>165</v>
      </c>
      <c r="C38" s="852"/>
      <c r="D38" s="852"/>
      <c r="E38" s="852"/>
      <c r="F38" s="852"/>
      <c r="G38" s="852"/>
      <c r="H38" s="852"/>
      <c r="I38" s="852"/>
      <c r="J38" s="852"/>
      <c r="K38" s="852">
        <v>2.142</v>
      </c>
      <c r="L38" s="852">
        <v>1.382</v>
      </c>
      <c r="M38" s="852">
        <v>1.724</v>
      </c>
      <c r="N38" s="852">
        <v>3.442</v>
      </c>
      <c r="O38" s="852">
        <v>4.437</v>
      </c>
      <c r="P38" s="852">
        <v>8.626</v>
      </c>
      <c r="Q38" s="852">
        <v>9.097</v>
      </c>
      <c r="R38" s="852">
        <v>7.761</v>
      </c>
      <c r="S38" s="852">
        <v>8.373</v>
      </c>
      <c r="T38" s="830">
        <v>7.885581754928481</v>
      </c>
      <c r="U38" s="883" t="s">
        <v>165</v>
      </c>
    </row>
    <row r="39" spans="1:21" ht="12.75">
      <c r="A39" s="875"/>
      <c r="B39" s="812" t="s">
        <v>166</v>
      </c>
      <c r="C39" s="848">
        <v>819.922</v>
      </c>
      <c r="D39" s="848">
        <v>854.15</v>
      </c>
      <c r="E39" s="848">
        <v>905.121</v>
      </c>
      <c r="F39" s="848">
        <v>940.935</v>
      </c>
      <c r="G39" s="848">
        <v>975.746</v>
      </c>
      <c r="H39" s="848">
        <v>1011.284</v>
      </c>
      <c r="I39" s="848">
        <v>1031.221</v>
      </c>
      <c r="J39" s="848">
        <v>1046.907</v>
      </c>
      <c r="K39" s="848">
        <v>1073.415</v>
      </c>
      <c r="L39" s="848">
        <v>1218.677</v>
      </c>
      <c r="M39" s="848">
        <v>1441.066</v>
      </c>
      <c r="N39" s="848">
        <v>1822.831</v>
      </c>
      <c r="O39" s="848">
        <v>2003.492</v>
      </c>
      <c r="P39" s="848">
        <v>2181.383</v>
      </c>
      <c r="Q39" s="848">
        <v>2303.261</v>
      </c>
      <c r="R39" s="848">
        <v>2389.488</v>
      </c>
      <c r="S39" s="848">
        <v>2527.19</v>
      </c>
      <c r="T39" s="829">
        <v>5.762824504663769</v>
      </c>
      <c r="U39" s="881" t="s">
        <v>166</v>
      </c>
    </row>
    <row r="40" spans="1:21" ht="12.75">
      <c r="A40" s="875"/>
      <c r="B40" s="804" t="s">
        <v>167</v>
      </c>
      <c r="C40" s="846">
        <v>1.881</v>
      </c>
      <c r="D40" s="846">
        <v>1.95</v>
      </c>
      <c r="E40" s="846">
        <v>2.047</v>
      </c>
      <c r="F40" s="846">
        <v>1.906</v>
      </c>
      <c r="G40" s="846">
        <v>2.084</v>
      </c>
      <c r="H40" s="846">
        <v>2.278</v>
      </c>
      <c r="I40" s="846">
        <v>2.444</v>
      </c>
      <c r="J40" s="846">
        <v>2.557</v>
      </c>
      <c r="K40" s="846">
        <v>2.747</v>
      </c>
      <c r="L40" s="846">
        <v>3.105</v>
      </c>
      <c r="M40" s="846">
        <v>4.183</v>
      </c>
      <c r="N40" s="846">
        <v>5.699</v>
      </c>
      <c r="O40" s="846">
        <v>8.074</v>
      </c>
      <c r="P40" s="846">
        <v>9.009</v>
      </c>
      <c r="Q40" s="846">
        <v>9.42</v>
      </c>
      <c r="R40" s="846">
        <v>9.651</v>
      </c>
      <c r="S40" s="846">
        <v>9.922</v>
      </c>
      <c r="T40" s="828">
        <v>2.807999171070378</v>
      </c>
      <c r="U40" s="882" t="s">
        <v>167</v>
      </c>
    </row>
    <row r="41" spans="1:21" ht="12.75">
      <c r="A41" s="875"/>
      <c r="B41" s="811" t="s">
        <v>168</v>
      </c>
      <c r="C41" s="848">
        <v>158.624</v>
      </c>
      <c r="D41" s="848">
        <v>164.775</v>
      </c>
      <c r="E41" s="848">
        <v>174.603</v>
      </c>
      <c r="F41" s="848">
        <v>184.34699999999998</v>
      </c>
      <c r="G41" s="848">
        <v>193.00099999999998</v>
      </c>
      <c r="H41" s="848">
        <v>201.564</v>
      </c>
      <c r="I41" s="848">
        <v>211.42700000000002</v>
      </c>
      <c r="J41" s="848">
        <v>225.173</v>
      </c>
      <c r="K41" s="848">
        <v>239.596</v>
      </c>
      <c r="L41" s="848">
        <v>248.57099999999997</v>
      </c>
      <c r="M41" s="848">
        <v>257.499</v>
      </c>
      <c r="N41" s="848">
        <v>268.54499999999996</v>
      </c>
      <c r="O41" s="848">
        <v>282.494</v>
      </c>
      <c r="P41" s="848">
        <v>296.383</v>
      </c>
      <c r="Q41" s="848">
        <v>306.79200000000003</v>
      </c>
      <c r="R41" s="848">
        <v>315.496</v>
      </c>
      <c r="S41" s="848">
        <v>323.496</v>
      </c>
      <c r="T41" s="829">
        <v>2.5356898344194576</v>
      </c>
      <c r="U41" s="880" t="s">
        <v>168</v>
      </c>
    </row>
    <row r="42" spans="1:21" ht="12.75">
      <c r="A42" s="875"/>
      <c r="B42" s="805" t="s">
        <v>169</v>
      </c>
      <c r="C42" s="852">
        <v>704.127</v>
      </c>
      <c r="D42" s="852">
        <v>699.052</v>
      </c>
      <c r="E42" s="852">
        <v>709.645</v>
      </c>
      <c r="F42" s="852">
        <v>718.764</v>
      </c>
      <c r="G42" s="852">
        <v>728.954</v>
      </c>
      <c r="H42" s="852">
        <v>732.551</v>
      </c>
      <c r="I42" s="852">
        <v>741.014</v>
      </c>
      <c r="J42" s="852">
        <v>753.372</v>
      </c>
      <c r="K42" s="852">
        <v>762.918</v>
      </c>
      <c r="L42" s="852">
        <v>770.639</v>
      </c>
      <c r="M42" s="852">
        <v>770.264</v>
      </c>
      <c r="N42" s="852">
        <v>783.511</v>
      </c>
      <c r="O42" s="852">
        <v>788.697</v>
      </c>
      <c r="P42" s="852">
        <v>804.125</v>
      </c>
      <c r="Q42" s="852">
        <v>806.577</v>
      </c>
      <c r="R42" s="852">
        <v>815.7429999999999</v>
      </c>
      <c r="S42" s="852">
        <v>833.891</v>
      </c>
      <c r="T42" s="830">
        <v>2.2247202856782167</v>
      </c>
      <c r="U42" s="883" t="s">
        <v>169</v>
      </c>
    </row>
    <row r="43" spans="1:21" ht="12.75">
      <c r="A43" s="875"/>
      <c r="B43" s="812" t="s">
        <v>284</v>
      </c>
      <c r="C43" s="867"/>
      <c r="D43" s="867"/>
      <c r="E43" s="867"/>
      <c r="F43" s="867"/>
      <c r="G43" s="867">
        <v>2.443</v>
      </c>
      <c r="H43" s="867">
        <v>2.594</v>
      </c>
      <c r="I43" s="867">
        <v>2.754</v>
      </c>
      <c r="J43" s="867">
        <v>2.878</v>
      </c>
      <c r="K43" s="867">
        <v>2.98</v>
      </c>
      <c r="L43" s="867">
        <v>3.003</v>
      </c>
      <c r="M43" s="867">
        <v>3.11</v>
      </c>
      <c r="N43" s="867">
        <v>3.17</v>
      </c>
      <c r="O43" s="867">
        <v>3.256</v>
      </c>
      <c r="P43" s="867">
        <v>3.438</v>
      </c>
      <c r="Q43" s="867">
        <v>3.577</v>
      </c>
      <c r="R43" s="867">
        <v>3.734</v>
      </c>
      <c r="S43" s="867">
        <v>3.753</v>
      </c>
      <c r="T43" s="832">
        <v>0.5088377075522317</v>
      </c>
      <c r="U43" s="881" t="s">
        <v>284</v>
      </c>
    </row>
    <row r="44" spans="1:21" ht="12.75">
      <c r="A44" s="799"/>
      <c r="B44" s="1125" t="s">
        <v>297</v>
      </c>
      <c r="C44" s="1126"/>
      <c r="D44" s="1126"/>
      <c r="E44" s="1126"/>
      <c r="F44" s="1126"/>
      <c r="G44" s="1126"/>
      <c r="H44" s="1126"/>
      <c r="I44" s="1126"/>
      <c r="J44" s="1126"/>
      <c r="K44" s="1126"/>
      <c r="L44" s="1126"/>
      <c r="M44" s="1126"/>
      <c r="N44" s="1126"/>
      <c r="O44" s="1126"/>
      <c r="P44" s="1126"/>
      <c r="Q44" s="1126"/>
      <c r="R44" s="1126"/>
      <c r="S44" s="1126"/>
      <c r="T44" s="1126"/>
      <c r="U44" s="1126"/>
    </row>
    <row r="45" spans="1:21" ht="12.75">
      <c r="A45" s="799"/>
      <c r="B45" s="1127" t="s">
        <v>197</v>
      </c>
      <c r="C45" s="1128"/>
      <c r="D45" s="1128"/>
      <c r="E45" s="1128"/>
      <c r="F45" s="1128"/>
      <c r="G45" s="1128"/>
      <c r="H45" s="1128"/>
      <c r="I45" s="1128"/>
      <c r="J45" s="1128"/>
      <c r="K45" s="1128"/>
      <c r="L45" s="1128"/>
      <c r="M45" s="1128"/>
      <c r="N45" s="1128"/>
      <c r="O45" s="1128"/>
      <c r="P45" s="1128"/>
      <c r="Q45" s="1128"/>
      <c r="R45" s="1128"/>
      <c r="S45" s="1128"/>
      <c r="T45" s="1128"/>
      <c r="U45" s="1128"/>
    </row>
    <row r="46" spans="1:21" ht="12.75">
      <c r="A46" s="799"/>
      <c r="B46" s="1122" t="s">
        <v>292</v>
      </c>
      <c r="C46" s="1122"/>
      <c r="D46" s="1122"/>
      <c r="E46" s="1122"/>
      <c r="F46" s="1122"/>
      <c r="G46" s="1122"/>
      <c r="H46" s="1122"/>
      <c r="I46" s="1122"/>
      <c r="J46" s="1122"/>
      <c r="K46" s="1122"/>
      <c r="L46" s="1122"/>
      <c r="M46" s="1122"/>
      <c r="N46" s="1122"/>
      <c r="O46" s="1122"/>
      <c r="P46" s="1122"/>
      <c r="Q46" s="1122"/>
      <c r="R46" s="1122"/>
      <c r="S46" s="1122"/>
      <c r="T46" s="1122"/>
      <c r="U46" s="1122"/>
    </row>
    <row r="47" spans="1:21" ht="12.75">
      <c r="A47" s="799"/>
      <c r="B47" s="1122" t="s">
        <v>298</v>
      </c>
      <c r="C47" s="1122"/>
      <c r="D47" s="1122"/>
      <c r="E47" s="1122"/>
      <c r="F47" s="1122"/>
      <c r="G47" s="1122"/>
      <c r="H47" s="1122"/>
      <c r="I47" s="1122"/>
      <c r="J47" s="1122"/>
      <c r="K47" s="1122"/>
      <c r="L47" s="1122"/>
      <c r="M47" s="1122"/>
      <c r="N47" s="1122"/>
      <c r="O47" s="1122"/>
      <c r="P47" s="1122"/>
      <c r="Q47" s="1122"/>
      <c r="R47" s="1122"/>
      <c r="S47" s="1122"/>
      <c r="T47" s="1122"/>
      <c r="U47" s="1122"/>
    </row>
    <row r="48" spans="1:21" ht="12.75">
      <c r="A48" s="799"/>
      <c r="B48" s="1122" t="s">
        <v>299</v>
      </c>
      <c r="C48" s="1122"/>
      <c r="D48" s="1122"/>
      <c r="E48" s="1122"/>
      <c r="F48" s="1122"/>
      <c r="G48" s="1122"/>
      <c r="H48" s="1122"/>
      <c r="I48" s="1122"/>
      <c r="J48" s="1122"/>
      <c r="K48" s="1122"/>
      <c r="L48" s="1122"/>
      <c r="M48" s="1122"/>
      <c r="N48" s="1122"/>
      <c r="O48" s="1122"/>
      <c r="P48" s="1122"/>
      <c r="Q48" s="1122"/>
      <c r="R48" s="1122"/>
      <c r="S48" s="1122"/>
      <c r="T48" s="1122"/>
      <c r="U48" s="1122"/>
    </row>
    <row r="49" spans="2:21" ht="12.75">
      <c r="B49" s="1122" t="s">
        <v>300</v>
      </c>
      <c r="C49" s="1122"/>
      <c r="D49" s="1122"/>
      <c r="E49" s="1122"/>
      <c r="F49" s="1122"/>
      <c r="G49" s="1122"/>
      <c r="H49" s="1122"/>
      <c r="I49" s="1122"/>
      <c r="J49" s="1122"/>
      <c r="K49" s="1122"/>
      <c r="L49" s="1122"/>
      <c r="M49" s="1122"/>
      <c r="N49" s="1122"/>
      <c r="O49" s="1122"/>
      <c r="P49" s="1122"/>
      <c r="Q49" s="1122"/>
      <c r="R49" s="1122"/>
      <c r="S49" s="1122"/>
      <c r="T49" s="1122"/>
      <c r="U49" s="1122"/>
    </row>
  </sheetData>
  <sheetProtection/>
  <mergeCells count="8">
    <mergeCell ref="B47:U47"/>
    <mergeCell ref="B48:U48"/>
    <mergeCell ref="B49:U49"/>
    <mergeCell ref="B2:U2"/>
    <mergeCell ref="B3:U3"/>
    <mergeCell ref="B44:U44"/>
    <mergeCell ref="B45:U45"/>
    <mergeCell ref="B46:U4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FF00"/>
  </sheetPr>
  <dimension ref="A1:U44"/>
  <sheetViews>
    <sheetView zoomScalePageLayoutView="0" workbookViewId="0" topLeftCell="A1">
      <selection activeCell="O35" sqref="O9:O35"/>
    </sheetView>
  </sheetViews>
  <sheetFormatPr defaultColWidth="9.140625" defaultRowHeight="12.75"/>
  <cols>
    <col min="1" max="1" width="3.7109375" style="0" customWidth="1"/>
    <col min="2" max="2" width="4.00390625" style="0" customWidth="1"/>
    <col min="3" max="4" width="8.7109375" style="93" hidden="1" customWidth="1"/>
    <col min="5" max="5" width="9.7109375" style="93" customWidth="1"/>
    <col min="6" max="9" width="8.7109375" style="93" hidden="1" customWidth="1"/>
    <col min="10" max="10" width="9.7109375" style="93" customWidth="1"/>
    <col min="11" max="13" width="9.7109375" style="93" hidden="1" customWidth="1"/>
    <col min="14" max="16" width="9.7109375" style="93" customWidth="1"/>
    <col min="17" max="17" width="8.140625" style="0" customWidth="1"/>
    <col min="18" max="18" width="5.8515625" style="0" customWidth="1"/>
    <col min="19" max="19" width="2.7109375" style="0" customWidth="1"/>
    <col min="20" max="20" width="7.421875" style="0" customWidth="1"/>
  </cols>
  <sheetData>
    <row r="1" spans="2:18" ht="15.75">
      <c r="B1" s="558"/>
      <c r="C1" s="900"/>
      <c r="D1" s="900"/>
      <c r="E1" s="900"/>
      <c r="F1" s="900"/>
      <c r="G1" s="900"/>
      <c r="J1" s="901"/>
      <c r="Q1" s="218" t="s">
        <v>138</v>
      </c>
      <c r="R1" s="218"/>
    </row>
    <row r="2" spans="1:21" ht="15.75">
      <c r="A2" s="384"/>
      <c r="B2" s="1129" t="s">
        <v>281</v>
      </c>
      <c r="C2" s="1129"/>
      <c r="D2" s="1129"/>
      <c r="E2" s="1129"/>
      <c r="F2" s="1129"/>
      <c r="G2" s="1129"/>
      <c r="H2" s="1129"/>
      <c r="I2" s="1129"/>
      <c r="J2" s="1129"/>
      <c r="K2" s="1129"/>
      <c r="L2" s="1129"/>
      <c r="M2" s="1129"/>
      <c r="N2" s="1129"/>
      <c r="O2" s="1129"/>
      <c r="P2" s="1129"/>
      <c r="Q2" s="1129"/>
      <c r="R2" s="902"/>
      <c r="S2" s="384"/>
      <c r="T2" s="384"/>
      <c r="U2" s="384"/>
    </row>
    <row r="3" spans="2:18" ht="12.75">
      <c r="B3" s="1090" t="s">
        <v>301</v>
      </c>
      <c r="C3" s="1090"/>
      <c r="D3" s="1090"/>
      <c r="E3" s="1090"/>
      <c r="F3" s="1090"/>
      <c r="G3" s="1090"/>
      <c r="H3" s="1090"/>
      <c r="I3" s="1090"/>
      <c r="J3" s="1090"/>
      <c r="K3" s="1090"/>
      <c r="L3" s="1090"/>
      <c r="M3" s="1090"/>
      <c r="N3" s="1090"/>
      <c r="O3" s="1090"/>
      <c r="P3" s="1090"/>
      <c r="Q3" s="1090"/>
      <c r="R3" s="219"/>
    </row>
    <row r="4" spans="2:18" ht="12.75">
      <c r="B4" s="142"/>
      <c r="C4" s="903"/>
      <c r="D4" s="903"/>
      <c r="E4" s="903"/>
      <c r="J4" s="904"/>
      <c r="L4" s="904"/>
      <c r="N4" s="904"/>
      <c r="O4" s="904" t="s">
        <v>283</v>
      </c>
      <c r="P4" s="904"/>
      <c r="Q4" s="905"/>
      <c r="R4" s="905"/>
    </row>
    <row r="5" spans="2:20" ht="33.75">
      <c r="B5" s="142"/>
      <c r="C5" s="563">
        <v>1998</v>
      </c>
      <c r="D5" s="564">
        <v>1999</v>
      </c>
      <c r="E5" s="563">
        <v>2000</v>
      </c>
      <c r="F5" s="564">
        <v>2001</v>
      </c>
      <c r="G5" s="564">
        <v>2002</v>
      </c>
      <c r="H5" s="564">
        <v>2003</v>
      </c>
      <c r="I5" s="564">
        <v>2004</v>
      </c>
      <c r="J5" s="564">
        <v>2005</v>
      </c>
      <c r="K5" s="564">
        <v>2006</v>
      </c>
      <c r="L5" s="564">
        <v>2007</v>
      </c>
      <c r="M5" s="564">
        <v>2008</v>
      </c>
      <c r="N5" s="564">
        <v>2009</v>
      </c>
      <c r="O5" s="564">
        <v>2010</v>
      </c>
      <c r="P5" s="564">
        <v>2011</v>
      </c>
      <c r="Q5" s="565">
        <v>2012</v>
      </c>
      <c r="R5" s="346"/>
      <c r="T5" s="906" t="s">
        <v>302</v>
      </c>
    </row>
    <row r="6" spans="2:20" ht="12.75">
      <c r="B6" s="148" t="s">
        <v>161</v>
      </c>
      <c r="C6" s="414"/>
      <c r="D6" s="226"/>
      <c r="E6" s="414"/>
      <c r="F6" s="226"/>
      <c r="G6" s="226"/>
      <c r="H6" s="226">
        <v>14853.315999999999</v>
      </c>
      <c r="I6" s="226">
        <v>15148.716000000004</v>
      </c>
      <c r="J6" s="226">
        <v>15092.174000000003</v>
      </c>
      <c r="K6" s="226">
        <v>15450.397999999997</v>
      </c>
      <c r="L6" s="226">
        <v>15604.958</v>
      </c>
      <c r="M6" s="226">
        <v>14361.428000000005</v>
      </c>
      <c r="N6" s="226">
        <v>14179.591</v>
      </c>
      <c r="O6" s="226">
        <v>13392.035</v>
      </c>
      <c r="P6" s="226">
        <v>13167.093000000004</v>
      </c>
      <c r="Q6" s="907">
        <v>12063.039999999997</v>
      </c>
      <c r="R6" s="389" t="s">
        <v>161</v>
      </c>
      <c r="T6" s="908">
        <v>-8.384941155956039</v>
      </c>
    </row>
    <row r="7" spans="2:20" ht="12.75">
      <c r="B7" s="154" t="s">
        <v>162</v>
      </c>
      <c r="C7" s="416">
        <v>13940.822999999999</v>
      </c>
      <c r="D7" s="909">
        <v>14632.826</v>
      </c>
      <c r="E7" s="416">
        <v>14319.107</v>
      </c>
      <c r="F7" s="909">
        <v>14401.916999999998</v>
      </c>
      <c r="G7" s="909">
        <v>14008.012999999999</v>
      </c>
      <c r="H7" s="909">
        <v>13842.554</v>
      </c>
      <c r="I7" s="909">
        <v>14127.452000000001</v>
      </c>
      <c r="J7" s="909">
        <v>14111.851</v>
      </c>
      <c r="K7" s="909">
        <v>14367.267999999998</v>
      </c>
      <c r="L7" s="909">
        <v>14363.818000000001</v>
      </c>
      <c r="M7" s="909">
        <v>13152.925</v>
      </c>
      <c r="N7" s="909">
        <v>13298.97</v>
      </c>
      <c r="O7" s="909">
        <v>12554.592</v>
      </c>
      <c r="P7" s="229">
        <v>12347.393000000004</v>
      </c>
      <c r="Q7" s="910">
        <v>11297.139</v>
      </c>
      <c r="R7" s="391" t="s">
        <v>162</v>
      </c>
      <c r="T7" s="911">
        <v>-8.505876503647404</v>
      </c>
    </row>
    <row r="8" spans="2:20" ht="12.75">
      <c r="B8" s="156" t="s">
        <v>163</v>
      </c>
      <c r="C8" s="912"/>
      <c r="D8" s="232"/>
      <c r="E8" s="912"/>
      <c r="F8" s="232"/>
      <c r="G8" s="232"/>
      <c r="H8" s="232">
        <v>1010.762</v>
      </c>
      <c r="I8" s="232">
        <v>1021.2639999999999</v>
      </c>
      <c r="J8" s="232">
        <v>980.323</v>
      </c>
      <c r="K8" s="232">
        <v>1083.13</v>
      </c>
      <c r="L8" s="232">
        <v>1241.14</v>
      </c>
      <c r="M8" s="232">
        <v>1208.503</v>
      </c>
      <c r="N8" s="232">
        <v>880.6209999999999</v>
      </c>
      <c r="O8" s="232">
        <v>837.4430000000001</v>
      </c>
      <c r="P8" s="232">
        <v>819.7</v>
      </c>
      <c r="Q8" s="913">
        <v>765.9010000000001</v>
      </c>
      <c r="R8" s="579" t="s">
        <v>163</v>
      </c>
      <c r="T8" s="914">
        <v>-6.56325484933512</v>
      </c>
    </row>
    <row r="9" spans="1:20" ht="12.75">
      <c r="A9" s="120"/>
      <c r="B9" s="110" t="s">
        <v>61</v>
      </c>
      <c r="C9" s="915">
        <v>452.129</v>
      </c>
      <c r="D9" s="252">
        <v>489.621</v>
      </c>
      <c r="E9" s="252">
        <v>515.204</v>
      </c>
      <c r="F9" s="252">
        <v>488.683</v>
      </c>
      <c r="G9" s="252">
        <v>467.569</v>
      </c>
      <c r="H9" s="252">
        <v>458.796</v>
      </c>
      <c r="I9" s="252">
        <v>484.757</v>
      </c>
      <c r="J9" s="252">
        <v>480.088</v>
      </c>
      <c r="K9" s="252">
        <v>526.141</v>
      </c>
      <c r="L9" s="252">
        <v>524.795</v>
      </c>
      <c r="M9" s="252">
        <v>535.947</v>
      </c>
      <c r="N9" s="252">
        <v>476.194</v>
      </c>
      <c r="O9" s="252">
        <v>547.34</v>
      </c>
      <c r="P9" s="252">
        <v>572.211</v>
      </c>
      <c r="Q9" s="916">
        <v>487.377</v>
      </c>
      <c r="R9" s="605" t="s">
        <v>61</v>
      </c>
      <c r="T9" s="908">
        <v>-14.825649978766576</v>
      </c>
    </row>
    <row r="10" spans="1:20" ht="12.75">
      <c r="A10" s="120"/>
      <c r="B10" s="154" t="s">
        <v>102</v>
      </c>
      <c r="C10" s="917"/>
      <c r="D10" s="235"/>
      <c r="E10" s="235"/>
      <c r="F10" s="235"/>
      <c r="G10" s="235">
        <v>13.82</v>
      </c>
      <c r="H10" s="235">
        <v>16.64</v>
      </c>
      <c r="I10" s="235">
        <v>24.91</v>
      </c>
      <c r="J10" s="235">
        <v>32.7</v>
      </c>
      <c r="K10" s="235">
        <v>32.481</v>
      </c>
      <c r="L10" s="235">
        <v>41.042</v>
      </c>
      <c r="M10" s="235">
        <v>43.758</v>
      </c>
      <c r="N10" s="235">
        <v>24.972</v>
      </c>
      <c r="O10" s="235">
        <v>15.646</v>
      </c>
      <c r="P10" s="918">
        <v>18.631</v>
      </c>
      <c r="Q10" s="919">
        <v>19.752</v>
      </c>
      <c r="R10" s="391" t="s">
        <v>102</v>
      </c>
      <c r="T10" s="911">
        <v>6.016853631045027</v>
      </c>
    </row>
    <row r="11" spans="1:20" ht="12.75">
      <c r="A11" s="120"/>
      <c r="B11" s="107" t="s">
        <v>62</v>
      </c>
      <c r="C11" s="305"/>
      <c r="D11" s="238"/>
      <c r="E11" s="238"/>
      <c r="F11" s="238"/>
      <c r="G11" s="238"/>
      <c r="H11" s="238">
        <v>152.981</v>
      </c>
      <c r="I11" s="238">
        <v>143.622</v>
      </c>
      <c r="J11" s="238">
        <v>151.699</v>
      </c>
      <c r="K11" s="238">
        <v>156.686</v>
      </c>
      <c r="L11" s="238">
        <v>174.456</v>
      </c>
      <c r="M11" s="238">
        <v>182.554</v>
      </c>
      <c r="N11" s="238">
        <v>167.708</v>
      </c>
      <c r="O11" s="238">
        <v>169.58</v>
      </c>
      <c r="P11" s="238">
        <v>173.595</v>
      </c>
      <c r="Q11" s="424">
        <v>173.997</v>
      </c>
      <c r="R11" s="585" t="s">
        <v>62</v>
      </c>
      <c r="T11" s="911">
        <v>0.23157349001987626</v>
      </c>
    </row>
    <row r="12" spans="1:20" ht="12.75">
      <c r="A12" s="120"/>
      <c r="B12" s="154" t="s">
        <v>14</v>
      </c>
      <c r="C12" s="917">
        <v>162.508</v>
      </c>
      <c r="D12" s="235">
        <v>143.727</v>
      </c>
      <c r="E12" s="235">
        <v>112.69</v>
      </c>
      <c r="F12" s="235">
        <v>96.173</v>
      </c>
      <c r="G12" s="235">
        <v>111.585</v>
      </c>
      <c r="H12" s="235">
        <v>96.078</v>
      </c>
      <c r="I12" s="235">
        <v>121.49</v>
      </c>
      <c r="J12" s="235">
        <v>146.885</v>
      </c>
      <c r="K12" s="235">
        <v>154.385</v>
      </c>
      <c r="L12" s="235">
        <v>159.347</v>
      </c>
      <c r="M12" s="235">
        <v>150.145</v>
      </c>
      <c r="N12" s="235">
        <v>112.201</v>
      </c>
      <c r="O12" s="235">
        <v>153.587</v>
      </c>
      <c r="P12" s="918">
        <v>169.974</v>
      </c>
      <c r="Q12" s="919">
        <v>170.531</v>
      </c>
      <c r="R12" s="391" t="s">
        <v>14</v>
      </c>
      <c r="T12" s="911">
        <v>0.32769717721534697</v>
      </c>
    </row>
    <row r="13" spans="1:20" ht="12.75">
      <c r="A13" s="120"/>
      <c r="B13" s="107" t="s">
        <v>64</v>
      </c>
      <c r="C13" s="305">
        <v>3735.987</v>
      </c>
      <c r="D13" s="238">
        <v>3802.176</v>
      </c>
      <c r="E13" s="238">
        <v>3378.343</v>
      </c>
      <c r="F13" s="238">
        <v>3341.718</v>
      </c>
      <c r="G13" s="238">
        <v>3252.898</v>
      </c>
      <c r="H13" s="238">
        <v>3236.938</v>
      </c>
      <c r="I13" s="238">
        <v>3266.825</v>
      </c>
      <c r="J13" s="238">
        <v>3319.259</v>
      </c>
      <c r="K13" s="238">
        <v>3467.961</v>
      </c>
      <c r="L13" s="238">
        <v>3148.163</v>
      </c>
      <c r="M13" s="238">
        <v>3090.04</v>
      </c>
      <c r="N13" s="238">
        <v>3807.175</v>
      </c>
      <c r="O13" s="238">
        <v>2916.259</v>
      </c>
      <c r="P13" s="238">
        <v>3173.634</v>
      </c>
      <c r="Q13" s="424">
        <v>3082.58</v>
      </c>
      <c r="R13" s="585" t="s">
        <v>64</v>
      </c>
      <c r="T13" s="911">
        <v>-2.8690769004869554</v>
      </c>
    </row>
    <row r="14" spans="1:20" ht="12.75">
      <c r="A14" s="120"/>
      <c r="B14" s="154" t="s">
        <v>65</v>
      </c>
      <c r="C14" s="917"/>
      <c r="D14" s="235"/>
      <c r="E14" s="235"/>
      <c r="F14" s="235"/>
      <c r="G14" s="235"/>
      <c r="H14" s="235">
        <v>15.602</v>
      </c>
      <c r="I14" s="235">
        <v>16.436</v>
      </c>
      <c r="J14" s="235">
        <v>19.64</v>
      </c>
      <c r="K14" s="235">
        <v>25.363</v>
      </c>
      <c r="L14" s="235">
        <v>30.912</v>
      </c>
      <c r="M14" s="235">
        <v>24.579</v>
      </c>
      <c r="N14" s="235">
        <v>9.946</v>
      </c>
      <c r="O14" s="235">
        <v>10.295</v>
      </c>
      <c r="P14" s="918">
        <v>17.07</v>
      </c>
      <c r="Q14" s="919">
        <v>19.424</v>
      </c>
      <c r="R14" s="391" t="s">
        <v>65</v>
      </c>
      <c r="T14" s="911">
        <v>13.790275336848268</v>
      </c>
    </row>
    <row r="15" spans="1:20" ht="12.75">
      <c r="A15" s="120"/>
      <c r="B15" s="107" t="s">
        <v>69</v>
      </c>
      <c r="C15" s="305">
        <v>145.702</v>
      </c>
      <c r="D15" s="238">
        <v>174.242</v>
      </c>
      <c r="E15" s="238">
        <v>230.795</v>
      </c>
      <c r="F15" s="238">
        <v>164.73</v>
      </c>
      <c r="G15" s="238">
        <v>156.125</v>
      </c>
      <c r="H15" s="238">
        <v>145.223</v>
      </c>
      <c r="I15" s="238">
        <v>154.136</v>
      </c>
      <c r="J15" s="238">
        <v>171.742</v>
      </c>
      <c r="K15" s="238">
        <v>178.484</v>
      </c>
      <c r="L15" s="238">
        <v>186.325</v>
      </c>
      <c r="M15" s="238">
        <v>151.607</v>
      </c>
      <c r="N15" s="238">
        <v>57.453</v>
      </c>
      <c r="O15" s="238">
        <v>88.446</v>
      </c>
      <c r="P15" s="238">
        <v>89.904</v>
      </c>
      <c r="Q15" s="424">
        <v>79.498</v>
      </c>
      <c r="R15" s="585" t="s">
        <v>69</v>
      </c>
      <c r="T15" s="911">
        <v>-11.574568428545994</v>
      </c>
    </row>
    <row r="16" spans="1:20" ht="12.75">
      <c r="A16" s="120"/>
      <c r="B16" s="154" t="s">
        <v>15</v>
      </c>
      <c r="C16" s="917">
        <v>180.145</v>
      </c>
      <c r="D16" s="235">
        <v>261.711</v>
      </c>
      <c r="E16" s="235">
        <v>290.222</v>
      </c>
      <c r="F16" s="235">
        <v>280.214</v>
      </c>
      <c r="G16" s="235">
        <v>268.489</v>
      </c>
      <c r="H16" s="235">
        <v>257.293</v>
      </c>
      <c r="I16" s="235">
        <v>289.691</v>
      </c>
      <c r="J16" s="235">
        <v>269.728</v>
      </c>
      <c r="K16" s="235">
        <v>267.669</v>
      </c>
      <c r="L16" s="235">
        <v>279.745</v>
      </c>
      <c r="M16" s="235">
        <v>267.295</v>
      </c>
      <c r="N16" s="235">
        <v>219.73</v>
      </c>
      <c r="O16" s="235">
        <v>141.501</v>
      </c>
      <c r="P16" s="918">
        <v>97.68</v>
      </c>
      <c r="Q16" s="919">
        <v>58.479</v>
      </c>
      <c r="R16" s="391" t="s">
        <v>15</v>
      </c>
      <c r="T16" s="911">
        <v>-40.13206388206388</v>
      </c>
    </row>
    <row r="17" spans="1:20" ht="12.75">
      <c r="A17" s="120"/>
      <c r="B17" s="107" t="s">
        <v>67</v>
      </c>
      <c r="C17" s="305">
        <v>1192.53</v>
      </c>
      <c r="D17" s="238">
        <v>1406.246</v>
      </c>
      <c r="E17" s="238">
        <v>1381.256</v>
      </c>
      <c r="F17" s="238">
        <v>1425.573</v>
      </c>
      <c r="G17" s="238">
        <v>1331.877</v>
      </c>
      <c r="H17" s="238">
        <v>1382.109</v>
      </c>
      <c r="I17" s="238">
        <v>1517.286</v>
      </c>
      <c r="J17" s="238">
        <v>1528.877</v>
      </c>
      <c r="K17" s="238">
        <v>1634.608</v>
      </c>
      <c r="L17" s="238">
        <v>1614.835</v>
      </c>
      <c r="M17" s="238">
        <v>1161.176</v>
      </c>
      <c r="N17" s="238">
        <v>952.772</v>
      </c>
      <c r="O17" s="238">
        <v>982.015</v>
      </c>
      <c r="P17" s="238">
        <v>808.051</v>
      </c>
      <c r="Q17" s="424">
        <v>699.589</v>
      </c>
      <c r="R17" s="585" t="s">
        <v>67</v>
      </c>
      <c r="T17" s="911">
        <v>-13.422667628652151</v>
      </c>
    </row>
    <row r="18" spans="1:20" ht="12.75">
      <c r="A18" s="120"/>
      <c r="B18" s="154" t="s">
        <v>68</v>
      </c>
      <c r="C18" s="917">
        <v>1943.553</v>
      </c>
      <c r="D18" s="235">
        <v>2148.423</v>
      </c>
      <c r="E18" s="235">
        <v>2133.884</v>
      </c>
      <c r="F18" s="235">
        <v>2254.732</v>
      </c>
      <c r="G18" s="235">
        <v>2145.071</v>
      </c>
      <c r="H18" s="235">
        <v>2009.246</v>
      </c>
      <c r="I18" s="235">
        <v>2013.709</v>
      </c>
      <c r="J18" s="235">
        <v>2067.789</v>
      </c>
      <c r="K18" s="235">
        <v>2000.549</v>
      </c>
      <c r="L18" s="235">
        <v>2064.543</v>
      </c>
      <c r="M18" s="235">
        <v>2050.282</v>
      </c>
      <c r="N18" s="235">
        <v>2302.398</v>
      </c>
      <c r="O18" s="235">
        <v>2251.669</v>
      </c>
      <c r="P18" s="918">
        <v>2204.229</v>
      </c>
      <c r="Q18" s="919">
        <v>1898.76</v>
      </c>
      <c r="R18" s="391" t="s">
        <v>68</v>
      </c>
      <c r="T18" s="911">
        <v>-13.858315084321992</v>
      </c>
    </row>
    <row r="19" spans="1:20" ht="12.75">
      <c r="A19" s="120"/>
      <c r="B19" s="107" t="s">
        <v>70</v>
      </c>
      <c r="C19" s="305">
        <v>2378.516</v>
      </c>
      <c r="D19" s="238">
        <v>2338.464</v>
      </c>
      <c r="E19" s="238">
        <v>2423.084</v>
      </c>
      <c r="F19" s="238">
        <v>2413.455</v>
      </c>
      <c r="G19" s="238">
        <v>2279.612</v>
      </c>
      <c r="H19" s="238">
        <v>2247.019</v>
      </c>
      <c r="I19" s="238">
        <v>2264.688</v>
      </c>
      <c r="J19" s="238">
        <v>2237.444</v>
      </c>
      <c r="K19" s="238">
        <v>2326.049</v>
      </c>
      <c r="L19" s="238">
        <v>2493.106</v>
      </c>
      <c r="M19" s="238">
        <v>2161.682</v>
      </c>
      <c r="N19" s="238">
        <v>2159.463</v>
      </c>
      <c r="O19" s="238">
        <v>1961.579</v>
      </c>
      <c r="P19" s="238">
        <v>1749.074</v>
      </c>
      <c r="Q19" s="424">
        <v>1402.089</v>
      </c>
      <c r="R19" s="585" t="s">
        <v>70</v>
      </c>
      <c r="T19" s="911">
        <v>-19.83821153364581</v>
      </c>
    </row>
    <row r="20" spans="1:20" ht="12.75">
      <c r="A20" s="120"/>
      <c r="B20" s="154" t="s">
        <v>72</v>
      </c>
      <c r="C20" s="917"/>
      <c r="D20" s="235"/>
      <c r="E20" s="235">
        <v>8.211</v>
      </c>
      <c r="F20" s="235">
        <v>10.002</v>
      </c>
      <c r="G20" s="235">
        <v>9.122</v>
      </c>
      <c r="H20" s="235">
        <v>9.145</v>
      </c>
      <c r="I20" s="235">
        <v>19.65</v>
      </c>
      <c r="J20" s="235">
        <v>19.21</v>
      </c>
      <c r="K20" s="235">
        <v>20.344</v>
      </c>
      <c r="L20" s="235">
        <v>25.107</v>
      </c>
      <c r="M20" s="235">
        <v>24.213</v>
      </c>
      <c r="N20" s="235">
        <v>15.945</v>
      </c>
      <c r="O20" s="235">
        <v>15.062</v>
      </c>
      <c r="P20" s="918">
        <v>14.665</v>
      </c>
      <c r="Q20" s="919">
        <v>10.967</v>
      </c>
      <c r="R20" s="391" t="s">
        <v>72</v>
      </c>
      <c r="T20" s="911">
        <v>-25.216501875213083</v>
      </c>
    </row>
    <row r="21" spans="1:20" ht="12.75">
      <c r="A21" s="120"/>
      <c r="B21" s="107" t="s">
        <v>73</v>
      </c>
      <c r="C21" s="305"/>
      <c r="D21" s="238"/>
      <c r="E21" s="238"/>
      <c r="F21" s="238"/>
      <c r="G21" s="238"/>
      <c r="H21" s="238">
        <v>8.713</v>
      </c>
      <c r="I21" s="238">
        <v>11.217</v>
      </c>
      <c r="J21" s="238">
        <v>16.602</v>
      </c>
      <c r="K21" s="238">
        <v>25.582</v>
      </c>
      <c r="L21" s="238">
        <v>32.771</v>
      </c>
      <c r="M21" s="238">
        <v>19.831</v>
      </c>
      <c r="N21" s="238">
        <v>5.367</v>
      </c>
      <c r="O21" s="238">
        <v>6.365</v>
      </c>
      <c r="P21" s="238">
        <v>10.98</v>
      </c>
      <c r="Q21" s="424">
        <v>10.665</v>
      </c>
      <c r="R21" s="585" t="s">
        <v>73</v>
      </c>
      <c r="T21" s="911">
        <v>-2.868852459016402</v>
      </c>
    </row>
    <row r="22" spans="1:20" ht="12.75">
      <c r="A22" s="120"/>
      <c r="B22" s="154" t="s">
        <v>74</v>
      </c>
      <c r="C22" s="917"/>
      <c r="D22" s="235"/>
      <c r="E22" s="235"/>
      <c r="F22" s="235"/>
      <c r="G22" s="235"/>
      <c r="H22" s="235">
        <v>7.543</v>
      </c>
      <c r="I22" s="235">
        <v>9.493</v>
      </c>
      <c r="J22" s="235">
        <v>10.467</v>
      </c>
      <c r="K22" s="235">
        <v>14.234</v>
      </c>
      <c r="L22" s="235">
        <v>21.606</v>
      </c>
      <c r="M22" s="235">
        <v>22.217</v>
      </c>
      <c r="N22" s="235">
        <v>7.515</v>
      </c>
      <c r="O22" s="235">
        <v>7.97</v>
      </c>
      <c r="P22" s="918">
        <v>13.234</v>
      </c>
      <c r="Q22" s="919">
        <v>12.165</v>
      </c>
      <c r="R22" s="391" t="s">
        <v>74</v>
      </c>
      <c r="T22" s="911">
        <v>-8.077678706362402</v>
      </c>
    </row>
    <row r="23" spans="1:20" ht="12.75">
      <c r="A23" s="120"/>
      <c r="B23" s="107" t="s">
        <v>77</v>
      </c>
      <c r="C23" s="305">
        <v>35.928</v>
      </c>
      <c r="D23" s="238">
        <v>40.476</v>
      </c>
      <c r="E23" s="238">
        <v>41.896</v>
      </c>
      <c r="F23" s="238">
        <v>42.833</v>
      </c>
      <c r="G23" s="238">
        <v>43.403</v>
      </c>
      <c r="H23" s="238">
        <v>43.62</v>
      </c>
      <c r="I23" s="238">
        <v>48.234</v>
      </c>
      <c r="J23" s="238">
        <v>48.517</v>
      </c>
      <c r="K23" s="238">
        <v>50.837</v>
      </c>
      <c r="L23" s="238">
        <v>51.332</v>
      </c>
      <c r="M23" s="238">
        <v>52.359</v>
      </c>
      <c r="N23" s="238">
        <v>47.265</v>
      </c>
      <c r="O23" s="238">
        <v>49.726</v>
      </c>
      <c r="P23" s="238">
        <v>49.881</v>
      </c>
      <c r="Q23" s="424">
        <v>53.008</v>
      </c>
      <c r="R23" s="585" t="s">
        <v>77</v>
      </c>
      <c r="T23" s="911">
        <v>6.2689200296706105</v>
      </c>
    </row>
    <row r="24" spans="1:20" ht="12.75">
      <c r="A24" s="120"/>
      <c r="B24" s="154" t="s">
        <v>78</v>
      </c>
      <c r="C24" s="917"/>
      <c r="D24" s="235"/>
      <c r="E24" s="235"/>
      <c r="F24" s="235"/>
      <c r="G24" s="235"/>
      <c r="H24" s="235">
        <v>208.426</v>
      </c>
      <c r="I24" s="235">
        <v>207.055</v>
      </c>
      <c r="J24" s="235">
        <v>198.982</v>
      </c>
      <c r="K24" s="235">
        <v>187.676</v>
      </c>
      <c r="L24" s="235">
        <v>171.661</v>
      </c>
      <c r="M24" s="235">
        <v>153.278</v>
      </c>
      <c r="N24" s="235">
        <v>60.189</v>
      </c>
      <c r="O24" s="235">
        <v>43.476</v>
      </c>
      <c r="P24" s="918">
        <v>45.094</v>
      </c>
      <c r="Q24" s="919">
        <v>50.398</v>
      </c>
      <c r="R24" s="391" t="s">
        <v>78</v>
      </c>
      <c r="T24" s="911">
        <v>11.762096953031453</v>
      </c>
    </row>
    <row r="25" spans="1:20" ht="12.75">
      <c r="A25" s="120"/>
      <c r="B25" s="107" t="s">
        <v>79</v>
      </c>
      <c r="C25" s="305"/>
      <c r="D25" s="238"/>
      <c r="E25" s="238"/>
      <c r="F25" s="238"/>
      <c r="G25" s="238"/>
      <c r="H25" s="238">
        <v>7.23</v>
      </c>
      <c r="I25" s="238">
        <v>6.217999999999999</v>
      </c>
      <c r="J25" s="238">
        <v>6.552</v>
      </c>
      <c r="K25" s="238">
        <v>6.745</v>
      </c>
      <c r="L25" s="238">
        <v>6.239999999999999</v>
      </c>
      <c r="M25" s="238">
        <v>5.423</v>
      </c>
      <c r="N25" s="238">
        <v>5.894</v>
      </c>
      <c r="O25" s="238">
        <v>4.056</v>
      </c>
      <c r="P25" s="238">
        <v>5.428</v>
      </c>
      <c r="Q25" s="424">
        <v>5.884</v>
      </c>
      <c r="R25" s="585" t="s">
        <v>79</v>
      </c>
      <c r="T25" s="911">
        <v>8.400884303610923</v>
      </c>
    </row>
    <row r="26" spans="1:20" ht="12.75">
      <c r="A26" s="120"/>
      <c r="B26" s="154" t="s">
        <v>16</v>
      </c>
      <c r="C26" s="917">
        <v>542.978</v>
      </c>
      <c r="D26" s="235">
        <v>611.487</v>
      </c>
      <c r="E26" s="235">
        <v>597.625</v>
      </c>
      <c r="F26" s="235">
        <v>530.231</v>
      </c>
      <c r="G26" s="235">
        <v>510.702</v>
      </c>
      <c r="H26" s="235">
        <v>488.841</v>
      </c>
      <c r="I26" s="235">
        <v>483.745</v>
      </c>
      <c r="J26" s="235">
        <v>465.152</v>
      </c>
      <c r="K26" s="235">
        <v>483.97</v>
      </c>
      <c r="L26" s="235">
        <v>505.538</v>
      </c>
      <c r="M26" s="235">
        <v>499.918</v>
      </c>
      <c r="N26" s="235">
        <v>387.152</v>
      </c>
      <c r="O26" s="235">
        <v>482.567</v>
      </c>
      <c r="P26" s="918">
        <v>555.798</v>
      </c>
      <c r="Q26" s="919">
        <v>502.675</v>
      </c>
      <c r="R26" s="391" t="s">
        <v>16</v>
      </c>
      <c r="T26" s="911">
        <v>-9.557968902371005</v>
      </c>
    </row>
    <row r="27" spans="1:20" ht="12.75">
      <c r="A27" s="120"/>
      <c r="B27" s="107" t="s">
        <v>82</v>
      </c>
      <c r="C27" s="305">
        <v>295.865</v>
      </c>
      <c r="D27" s="238">
        <v>314.182</v>
      </c>
      <c r="E27" s="238">
        <v>309.427</v>
      </c>
      <c r="F27" s="238">
        <v>293.528</v>
      </c>
      <c r="G27" s="238">
        <v>279.493</v>
      </c>
      <c r="H27" s="238">
        <v>300.121</v>
      </c>
      <c r="I27" s="238">
        <v>311.292</v>
      </c>
      <c r="J27" s="238">
        <v>307.915</v>
      </c>
      <c r="K27" s="238">
        <v>308.594</v>
      </c>
      <c r="L27" s="238">
        <v>298.182</v>
      </c>
      <c r="M27" s="238">
        <v>293.697</v>
      </c>
      <c r="N27" s="238">
        <v>319.403</v>
      </c>
      <c r="O27" s="238">
        <v>328.563</v>
      </c>
      <c r="P27" s="238">
        <v>356.145</v>
      </c>
      <c r="Q27" s="424">
        <v>336.01</v>
      </c>
      <c r="R27" s="585" t="s">
        <v>82</v>
      </c>
      <c r="T27" s="911">
        <v>-5.653596147636497</v>
      </c>
    </row>
    <row r="28" spans="1:20" ht="12.75">
      <c r="A28" s="120"/>
      <c r="B28" s="154" t="s">
        <v>81</v>
      </c>
      <c r="C28" s="917"/>
      <c r="D28" s="235"/>
      <c r="E28" s="920"/>
      <c r="F28" s="235"/>
      <c r="G28" s="235"/>
      <c r="H28" s="235">
        <v>358.432</v>
      </c>
      <c r="I28" s="235">
        <v>318.111</v>
      </c>
      <c r="J28" s="235">
        <v>235.522</v>
      </c>
      <c r="K28" s="235">
        <v>238.993</v>
      </c>
      <c r="L28" s="235">
        <v>293.305</v>
      </c>
      <c r="M28" s="235">
        <v>320.04</v>
      </c>
      <c r="N28" s="235">
        <v>320.206</v>
      </c>
      <c r="O28" s="235">
        <v>333.49</v>
      </c>
      <c r="P28" s="918">
        <v>297.937</v>
      </c>
      <c r="Q28" s="919">
        <v>271.215</v>
      </c>
      <c r="R28" s="391" t="s">
        <v>81</v>
      </c>
      <c r="T28" s="911">
        <v>-8.969010226994312</v>
      </c>
    </row>
    <row r="29" spans="1:20" ht="12.75">
      <c r="A29" s="120"/>
      <c r="B29" s="107" t="s">
        <v>93</v>
      </c>
      <c r="C29" s="305">
        <v>248.398</v>
      </c>
      <c r="D29" s="238">
        <v>272.883</v>
      </c>
      <c r="E29" s="238">
        <v>257.836</v>
      </c>
      <c r="F29" s="238">
        <v>255.21</v>
      </c>
      <c r="G29" s="238">
        <v>226.092</v>
      </c>
      <c r="H29" s="238">
        <v>189.792</v>
      </c>
      <c r="I29" s="238">
        <v>197.645</v>
      </c>
      <c r="J29" s="238">
        <v>206.488</v>
      </c>
      <c r="K29" s="238">
        <v>194.702</v>
      </c>
      <c r="L29" s="238">
        <v>201.816</v>
      </c>
      <c r="M29" s="238">
        <v>213.389</v>
      </c>
      <c r="N29" s="238">
        <v>161.013</v>
      </c>
      <c r="O29" s="238">
        <v>223.464</v>
      </c>
      <c r="P29" s="238">
        <v>153.404</v>
      </c>
      <c r="Q29" s="424">
        <v>95.29</v>
      </c>
      <c r="R29" s="585" t="s">
        <v>93</v>
      </c>
      <c r="T29" s="911">
        <v>-37.88297567208156</v>
      </c>
    </row>
    <row r="30" spans="1:20" ht="12.75">
      <c r="A30" s="120"/>
      <c r="B30" s="154" t="s">
        <v>103</v>
      </c>
      <c r="C30" s="917"/>
      <c r="D30" s="235"/>
      <c r="E30" s="235"/>
      <c r="F30" s="235"/>
      <c r="G30" s="235">
        <v>88.8</v>
      </c>
      <c r="H30" s="235">
        <v>106.76</v>
      </c>
      <c r="I30" s="235">
        <v>145.12</v>
      </c>
      <c r="J30" s="235">
        <v>172.5</v>
      </c>
      <c r="K30" s="235">
        <v>256.364</v>
      </c>
      <c r="L30" s="235">
        <v>315.621</v>
      </c>
      <c r="M30" s="235">
        <v>270.995</v>
      </c>
      <c r="N30" s="235">
        <v>130.195</v>
      </c>
      <c r="O30" s="235">
        <v>106.328</v>
      </c>
      <c r="P30" s="918">
        <v>94.619</v>
      </c>
      <c r="Q30" s="919">
        <v>72.148</v>
      </c>
      <c r="R30" s="391" t="s">
        <v>103</v>
      </c>
      <c r="T30" s="911">
        <v>-23.748929918938057</v>
      </c>
    </row>
    <row r="31" spans="1:20" ht="12.75">
      <c r="A31" s="120"/>
      <c r="B31" s="107" t="s">
        <v>84</v>
      </c>
      <c r="C31" s="305"/>
      <c r="D31" s="238"/>
      <c r="E31" s="238"/>
      <c r="F31" s="238"/>
      <c r="G31" s="238"/>
      <c r="H31" s="238">
        <v>59.548</v>
      </c>
      <c r="I31" s="238">
        <v>62.002</v>
      </c>
      <c r="J31" s="238">
        <v>59.324</v>
      </c>
      <c r="K31" s="238">
        <v>59.578</v>
      </c>
      <c r="L31" s="238">
        <v>68.719</v>
      </c>
      <c r="M31" s="238">
        <v>71.575</v>
      </c>
      <c r="N31" s="238">
        <v>57.967</v>
      </c>
      <c r="O31" s="238">
        <v>61.142</v>
      </c>
      <c r="P31" s="238">
        <v>60.193</v>
      </c>
      <c r="Q31" s="424">
        <v>50.091</v>
      </c>
      <c r="R31" s="585" t="s">
        <v>84</v>
      </c>
      <c r="T31" s="911">
        <v>-16.78268237170435</v>
      </c>
    </row>
    <row r="32" spans="1:20" ht="12.75">
      <c r="A32" s="120"/>
      <c r="B32" s="154" t="s">
        <v>86</v>
      </c>
      <c r="C32" s="917"/>
      <c r="D32" s="235"/>
      <c r="E32" s="235"/>
      <c r="F32" s="235"/>
      <c r="G32" s="235"/>
      <c r="H32" s="235">
        <v>59.742</v>
      </c>
      <c r="I32" s="235">
        <v>57.43</v>
      </c>
      <c r="J32" s="235">
        <v>57.125</v>
      </c>
      <c r="K32" s="235">
        <v>59.084</v>
      </c>
      <c r="L32" s="235">
        <v>59.7</v>
      </c>
      <c r="M32" s="235">
        <v>70.04</v>
      </c>
      <c r="N32" s="235">
        <v>74.717</v>
      </c>
      <c r="O32" s="235">
        <v>64.033</v>
      </c>
      <c r="P32" s="918">
        <v>68.254</v>
      </c>
      <c r="Q32" s="919">
        <v>69.195</v>
      </c>
      <c r="R32" s="391" t="s">
        <v>86</v>
      </c>
      <c r="T32" s="911">
        <v>1.3786737773610058</v>
      </c>
    </row>
    <row r="33" spans="1:20" ht="12.75">
      <c r="A33" s="120"/>
      <c r="B33" s="107" t="s">
        <v>88</v>
      </c>
      <c r="C33" s="305">
        <v>125.751</v>
      </c>
      <c r="D33" s="238">
        <v>136.324</v>
      </c>
      <c r="E33" s="238">
        <v>134.646</v>
      </c>
      <c r="F33" s="238">
        <v>109.487</v>
      </c>
      <c r="G33" s="238">
        <v>116.877</v>
      </c>
      <c r="H33" s="238">
        <v>147.222</v>
      </c>
      <c r="I33" s="238">
        <v>142.439</v>
      </c>
      <c r="J33" s="238">
        <v>147.949</v>
      </c>
      <c r="K33" s="238">
        <v>145.689</v>
      </c>
      <c r="L33" s="238">
        <v>125.285</v>
      </c>
      <c r="M33" s="238">
        <v>139.611</v>
      </c>
      <c r="N33" s="238">
        <v>88.344</v>
      </c>
      <c r="O33" s="238">
        <v>107.346</v>
      </c>
      <c r="P33" s="238">
        <v>121.171</v>
      </c>
      <c r="Q33" s="424">
        <v>107.166</v>
      </c>
      <c r="R33" s="585" t="s">
        <v>88</v>
      </c>
      <c r="T33" s="911">
        <v>-11.55804606712828</v>
      </c>
    </row>
    <row r="34" spans="1:20" ht="12.75">
      <c r="A34" s="120"/>
      <c r="B34" s="154" t="s">
        <v>89</v>
      </c>
      <c r="C34" s="917">
        <v>253.43</v>
      </c>
      <c r="D34" s="235">
        <v>295.249</v>
      </c>
      <c r="E34" s="235">
        <v>290.529</v>
      </c>
      <c r="F34" s="235">
        <v>246.581</v>
      </c>
      <c r="G34" s="235">
        <v>254.589</v>
      </c>
      <c r="H34" s="235">
        <v>261.206</v>
      </c>
      <c r="I34" s="235">
        <v>264.246</v>
      </c>
      <c r="J34" s="235">
        <v>274.301</v>
      </c>
      <c r="K34" s="235">
        <v>282.766</v>
      </c>
      <c r="L34" s="235">
        <v>306.799</v>
      </c>
      <c r="M34" s="235">
        <v>253.982</v>
      </c>
      <c r="N34" s="235">
        <v>213.408</v>
      </c>
      <c r="O34" s="235">
        <v>289.684</v>
      </c>
      <c r="P34" s="918">
        <v>304.984</v>
      </c>
      <c r="Q34" s="919">
        <v>279.478</v>
      </c>
      <c r="R34" s="391" t="s">
        <v>89</v>
      </c>
      <c r="T34" s="911">
        <v>-8.363061668808847</v>
      </c>
    </row>
    <row r="35" spans="1:20" ht="12.75">
      <c r="A35" s="120"/>
      <c r="B35" s="109" t="s">
        <v>13</v>
      </c>
      <c r="C35" s="921">
        <v>2247.403</v>
      </c>
      <c r="D35" s="922">
        <v>2197.615</v>
      </c>
      <c r="E35" s="922">
        <v>2221.67</v>
      </c>
      <c r="F35" s="922">
        <v>2458.769</v>
      </c>
      <c r="G35" s="922">
        <v>2563.631</v>
      </c>
      <c r="H35" s="922">
        <v>2579.05</v>
      </c>
      <c r="I35" s="922">
        <v>2567.269</v>
      </c>
      <c r="J35" s="922">
        <v>2439.717</v>
      </c>
      <c r="K35" s="922">
        <v>2344.864</v>
      </c>
      <c r="L35" s="922">
        <v>2404.007</v>
      </c>
      <c r="M35" s="922">
        <v>2131.795</v>
      </c>
      <c r="N35" s="922">
        <v>1994.999</v>
      </c>
      <c r="O35" s="922">
        <v>2030.846</v>
      </c>
      <c r="P35" s="922">
        <v>1941.253</v>
      </c>
      <c r="Q35" s="923">
        <v>2044.609</v>
      </c>
      <c r="R35" s="600" t="s">
        <v>13</v>
      </c>
      <c r="T35" s="914">
        <v>5.324190097838866</v>
      </c>
    </row>
    <row r="36" spans="1:20" ht="12.75">
      <c r="A36" s="120"/>
      <c r="B36" s="154" t="s">
        <v>164</v>
      </c>
      <c r="C36" s="917">
        <v>85.893</v>
      </c>
      <c r="D36" s="235">
        <v>89.665</v>
      </c>
      <c r="E36" s="235">
        <v>92.36</v>
      </c>
      <c r="F36" s="235">
        <v>108.633</v>
      </c>
      <c r="G36" s="235">
        <v>95.21</v>
      </c>
      <c r="H36" s="235">
        <v>104.52</v>
      </c>
      <c r="I36" s="235">
        <v>99.84</v>
      </c>
      <c r="J36" s="235">
        <v>102.123</v>
      </c>
      <c r="K36" s="235">
        <v>114.447</v>
      </c>
      <c r="L36" s="235">
        <v>106.202</v>
      </c>
      <c r="M36" s="235">
        <v>95.697</v>
      </c>
      <c r="N36" s="235">
        <v>53.252</v>
      </c>
      <c r="O36" s="235"/>
      <c r="P36" s="918"/>
      <c r="Q36" s="919"/>
      <c r="R36" s="391" t="s">
        <v>164</v>
      </c>
      <c r="T36" s="908"/>
    </row>
    <row r="37" spans="1:20" ht="12.75">
      <c r="A37" s="120"/>
      <c r="B37" s="107" t="s">
        <v>165</v>
      </c>
      <c r="C37" s="305"/>
      <c r="D37" s="238"/>
      <c r="E37" s="238"/>
      <c r="F37" s="238"/>
      <c r="G37" s="238"/>
      <c r="H37" s="238"/>
      <c r="I37" s="238"/>
      <c r="J37" s="238"/>
      <c r="K37" s="238"/>
      <c r="L37" s="238"/>
      <c r="M37" s="238"/>
      <c r="N37" s="238"/>
      <c r="O37" s="238"/>
      <c r="P37" s="238"/>
      <c r="Q37" s="424"/>
      <c r="R37" s="585" t="s">
        <v>165</v>
      </c>
      <c r="T37" s="911"/>
    </row>
    <row r="38" spans="1:20" ht="12.75">
      <c r="A38" s="120"/>
      <c r="B38" s="156" t="s">
        <v>166</v>
      </c>
      <c r="C38" s="924"/>
      <c r="D38" s="925"/>
      <c r="E38" s="925"/>
      <c r="F38" s="925"/>
      <c r="G38" s="326">
        <v>70.191</v>
      </c>
      <c r="H38" s="326">
        <v>176.217</v>
      </c>
      <c r="I38" s="326">
        <v>432.728</v>
      </c>
      <c r="J38" s="326">
        <v>406.807</v>
      </c>
      <c r="K38" s="326">
        <v>396.542</v>
      </c>
      <c r="L38" s="326">
        <v>353.495</v>
      </c>
      <c r="M38" s="326">
        <v>353.168</v>
      </c>
      <c r="N38" s="326">
        <v>357.986</v>
      </c>
      <c r="O38" s="326">
        <v>485.619</v>
      </c>
      <c r="P38" s="251"/>
      <c r="Q38" s="926"/>
      <c r="R38" s="579" t="s">
        <v>166</v>
      </c>
      <c r="T38" s="927"/>
    </row>
    <row r="39" spans="1:20" ht="12.75">
      <c r="A39" s="120"/>
      <c r="B39" s="107" t="s">
        <v>167</v>
      </c>
      <c r="C39" s="305">
        <v>13.569</v>
      </c>
      <c r="D39" s="238">
        <v>15.377</v>
      </c>
      <c r="E39" s="238">
        <v>13.569</v>
      </c>
      <c r="F39" s="238">
        <v>7.245</v>
      </c>
      <c r="G39" s="238">
        <v>6.943</v>
      </c>
      <c r="H39" s="238">
        <v>9.885</v>
      </c>
      <c r="I39" s="238">
        <v>11.968</v>
      </c>
      <c r="J39" s="238">
        <v>18.06</v>
      </c>
      <c r="K39" s="238">
        <v>17.129</v>
      </c>
      <c r="L39" s="238">
        <v>15.942</v>
      </c>
      <c r="M39" s="238">
        <v>9.033</v>
      </c>
      <c r="N39" s="238">
        <v>2.113</v>
      </c>
      <c r="O39" s="238">
        <v>3.106</v>
      </c>
      <c r="P39" s="238">
        <v>5.038</v>
      </c>
      <c r="Q39" s="424">
        <v>7.93</v>
      </c>
      <c r="R39" s="585" t="s">
        <v>167</v>
      </c>
      <c r="T39" s="908">
        <v>57.40373163953949</v>
      </c>
    </row>
    <row r="40" spans="1:20" ht="12.75">
      <c r="A40" s="120"/>
      <c r="B40" s="154" t="s">
        <v>168</v>
      </c>
      <c r="C40" s="917">
        <v>117.977</v>
      </c>
      <c r="D40" s="235">
        <v>101.278</v>
      </c>
      <c r="E40" s="235">
        <v>97.376</v>
      </c>
      <c r="F40" s="235">
        <v>91.916</v>
      </c>
      <c r="G40" s="235">
        <v>88.721</v>
      </c>
      <c r="H40" s="235">
        <v>89.921</v>
      </c>
      <c r="I40" s="235">
        <v>115.645</v>
      </c>
      <c r="J40" s="235">
        <v>109.907</v>
      </c>
      <c r="K40" s="235">
        <v>109.164</v>
      </c>
      <c r="L40" s="235">
        <v>129.195</v>
      </c>
      <c r="M40" s="235">
        <v>110.617</v>
      </c>
      <c r="N40" s="235">
        <v>98.675</v>
      </c>
      <c r="O40" s="235">
        <v>127.754</v>
      </c>
      <c r="P40" s="918">
        <v>138.345</v>
      </c>
      <c r="Q40" s="919">
        <v>137.967</v>
      </c>
      <c r="R40" s="391" t="s">
        <v>168</v>
      </c>
      <c r="T40" s="911">
        <v>-0.273229968556854</v>
      </c>
    </row>
    <row r="41" spans="1:20" ht="12.75">
      <c r="A41" s="120"/>
      <c r="B41" s="109" t="s">
        <v>169</v>
      </c>
      <c r="C41" s="921">
        <v>296.945</v>
      </c>
      <c r="D41" s="922">
        <v>316.876</v>
      </c>
      <c r="E41" s="922">
        <v>316.519</v>
      </c>
      <c r="F41" s="922">
        <v>316.641</v>
      </c>
      <c r="G41" s="922">
        <v>295.065</v>
      </c>
      <c r="H41" s="922">
        <v>270.309</v>
      </c>
      <c r="I41" s="922">
        <v>269.385</v>
      </c>
      <c r="J41" s="922">
        <v>264.941</v>
      </c>
      <c r="K41" s="922">
        <v>269.452</v>
      </c>
      <c r="L41" s="922">
        <v>284.688</v>
      </c>
      <c r="M41" s="922">
        <v>288.557</v>
      </c>
      <c r="N41" s="922">
        <v>266.049</v>
      </c>
      <c r="O41" s="922">
        <v>292.453</v>
      </c>
      <c r="P41" s="922">
        <v>316.846</v>
      </c>
      <c r="Q41" s="923">
        <v>326.081</v>
      </c>
      <c r="R41" s="600" t="s">
        <v>169</v>
      </c>
      <c r="T41" s="914">
        <v>2.9146651685677094</v>
      </c>
    </row>
    <row r="42" spans="2:18" ht="12.75">
      <c r="B42" s="1130" t="s">
        <v>303</v>
      </c>
      <c r="C42" s="1130"/>
      <c r="D42" s="1130"/>
      <c r="E42" s="1130"/>
      <c r="F42" s="1130"/>
      <c r="G42" s="1130"/>
      <c r="H42" s="1130"/>
      <c r="I42" s="1130"/>
      <c r="J42" s="1130"/>
      <c r="K42" s="1130"/>
      <c r="L42" s="1130"/>
      <c r="M42" s="1130"/>
      <c r="N42" s="1130"/>
      <c r="O42" s="1130"/>
      <c r="P42" s="1130"/>
      <c r="Q42" s="1130"/>
      <c r="R42" s="206"/>
    </row>
    <row r="43" ht="12.75">
      <c r="B43" s="135" t="s">
        <v>197</v>
      </c>
    </row>
    <row r="44" ht="12.75">
      <c r="E44" s="317" t="s">
        <v>304</v>
      </c>
    </row>
  </sheetData>
  <sheetProtection/>
  <mergeCells count="3">
    <mergeCell ref="B2:Q2"/>
    <mergeCell ref="B3:Q3"/>
    <mergeCell ref="B42:Q4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FFFF00"/>
  </sheetPr>
  <dimension ref="A1:AK43"/>
  <sheetViews>
    <sheetView zoomScalePageLayoutView="0" workbookViewId="0" topLeftCell="A1">
      <selection activeCell="AE37" sqref="AE37:AE38"/>
    </sheetView>
  </sheetViews>
  <sheetFormatPr defaultColWidth="9.140625" defaultRowHeight="12.75"/>
  <cols>
    <col min="1" max="1" width="2.7109375" style="0" customWidth="1"/>
    <col min="2" max="2" width="4.7109375" style="0" customWidth="1"/>
    <col min="3" max="4" width="6.28125" style="0" hidden="1" customWidth="1"/>
    <col min="5" max="5" width="5.57421875" style="0" customWidth="1"/>
    <col min="6" max="14" width="6.28125" style="0" hidden="1" customWidth="1"/>
    <col min="15" max="15" width="6.28125" style="0" customWidth="1"/>
    <col min="16" max="19" width="6.28125" style="0" hidden="1" customWidth="1"/>
    <col min="20" max="20" width="6.8515625" style="0" customWidth="1"/>
    <col min="21" max="22" width="6.28125" style="0" hidden="1" customWidth="1"/>
    <col min="23" max="28" width="6.28125" style="0" customWidth="1"/>
    <col min="29" max="29" width="4.7109375" style="0" customWidth="1"/>
    <col min="30" max="30" width="9.140625" style="35" customWidth="1"/>
  </cols>
  <sheetData>
    <row r="1" spans="2:29" ht="15.75">
      <c r="B1" s="140"/>
      <c r="C1" s="100"/>
      <c r="D1" s="100"/>
      <c r="E1" s="100"/>
      <c r="F1" s="100"/>
      <c r="G1" s="101"/>
      <c r="H1" s="101"/>
      <c r="I1" s="101"/>
      <c r="J1" s="101"/>
      <c r="K1" s="101"/>
      <c r="AC1" s="102" t="s">
        <v>147</v>
      </c>
    </row>
    <row r="2" spans="2:29" ht="24.75" customHeight="1">
      <c r="B2" s="1079" t="s">
        <v>185</v>
      </c>
      <c r="C2" s="1079"/>
      <c r="D2" s="1079"/>
      <c r="E2" s="1079"/>
      <c r="F2" s="1079"/>
      <c r="G2" s="1079"/>
      <c r="H2" s="1079"/>
      <c r="I2" s="1079"/>
      <c r="J2" s="1079"/>
      <c r="K2" s="1079"/>
      <c r="L2" s="1079"/>
      <c r="M2" s="1131"/>
      <c r="N2" s="1131"/>
      <c r="O2" s="1131"/>
      <c r="P2" s="1131"/>
      <c r="Q2" s="1131"/>
      <c r="R2" s="1131"/>
      <c r="S2" s="1131"/>
      <c r="T2" s="1131"/>
      <c r="U2" s="1131"/>
      <c r="V2" s="1131"/>
      <c r="W2" s="1131"/>
      <c r="X2" s="1131"/>
      <c r="Y2" s="1131"/>
      <c r="Z2" s="1131"/>
      <c r="AA2" s="1131"/>
      <c r="AB2" s="1131"/>
      <c r="AC2" s="1131"/>
    </row>
    <row r="3" spans="2:31" ht="18.75">
      <c r="B3" s="103"/>
      <c r="C3" s="105">
        <v>1970</v>
      </c>
      <c r="D3" s="104">
        <v>1980</v>
      </c>
      <c r="E3" s="105">
        <v>1990</v>
      </c>
      <c r="F3" s="106">
        <v>1991</v>
      </c>
      <c r="G3" s="106">
        <v>1992</v>
      </c>
      <c r="H3" s="106">
        <v>1993</v>
      </c>
      <c r="I3" s="106">
        <v>1994</v>
      </c>
      <c r="J3" s="106">
        <v>1995</v>
      </c>
      <c r="K3" s="106">
        <v>1996</v>
      </c>
      <c r="L3" s="106">
        <v>1997</v>
      </c>
      <c r="M3" s="106">
        <v>1998</v>
      </c>
      <c r="N3" s="106">
        <v>1999</v>
      </c>
      <c r="O3" s="106">
        <v>2000</v>
      </c>
      <c r="P3" s="106">
        <v>2001</v>
      </c>
      <c r="Q3" s="106">
        <v>2002</v>
      </c>
      <c r="R3" s="106">
        <v>2003</v>
      </c>
      <c r="S3" s="106">
        <v>2004</v>
      </c>
      <c r="T3" s="106">
        <v>2005</v>
      </c>
      <c r="U3" s="106">
        <v>2006</v>
      </c>
      <c r="V3" s="106">
        <v>2007</v>
      </c>
      <c r="W3" s="106">
        <v>2008</v>
      </c>
      <c r="X3" s="106">
        <v>2009</v>
      </c>
      <c r="Y3" s="106">
        <v>2010</v>
      </c>
      <c r="Z3" s="106">
        <v>2011</v>
      </c>
      <c r="AA3" s="141" t="s">
        <v>159</v>
      </c>
      <c r="AB3" s="141" t="s">
        <v>186</v>
      </c>
      <c r="AC3" s="142"/>
      <c r="AE3" s="211" t="s">
        <v>191</v>
      </c>
    </row>
    <row r="4" spans="2:31" ht="12.75">
      <c r="B4" s="143"/>
      <c r="C4" s="144"/>
      <c r="D4" s="145"/>
      <c r="E4" s="144"/>
      <c r="F4" s="146"/>
      <c r="G4" s="146"/>
      <c r="H4" s="146"/>
      <c r="I4" s="146"/>
      <c r="J4" s="146"/>
      <c r="K4" s="146"/>
      <c r="L4" s="146"/>
      <c r="M4" s="146"/>
      <c r="N4" s="146"/>
      <c r="O4" s="146"/>
      <c r="P4" s="146"/>
      <c r="Q4" s="146"/>
      <c r="R4" s="146"/>
      <c r="S4" s="146"/>
      <c r="T4" s="146"/>
      <c r="U4" s="146"/>
      <c r="V4" s="146"/>
      <c r="W4" s="146"/>
      <c r="X4" s="146"/>
      <c r="Y4" s="146"/>
      <c r="Z4" s="146"/>
      <c r="AA4" s="147" t="s">
        <v>160</v>
      </c>
      <c r="AB4" s="147" t="s">
        <v>160</v>
      </c>
      <c r="AC4" s="142"/>
      <c r="AE4" s="212"/>
    </row>
    <row r="5" spans="2:31" ht="12.75">
      <c r="B5" s="148" t="s">
        <v>161</v>
      </c>
      <c r="C5" s="149"/>
      <c r="D5" s="150"/>
      <c r="E5" s="149">
        <f>SUM(E8:E34)</f>
        <v>75977</v>
      </c>
      <c r="F5" s="151">
        <f aca="true" t="shared" si="0" ref="F5:Z5">SUM(F8:F34)</f>
        <v>75346</v>
      </c>
      <c r="G5" s="151">
        <f t="shared" si="0"/>
        <v>70674</v>
      </c>
      <c r="H5" s="151">
        <f t="shared" si="0"/>
        <v>65441</v>
      </c>
      <c r="I5" s="151">
        <f t="shared" si="0"/>
        <v>63903</v>
      </c>
      <c r="J5" s="151">
        <f t="shared" si="0"/>
        <v>63155</v>
      </c>
      <c r="K5" s="151">
        <f t="shared" si="0"/>
        <v>59401</v>
      </c>
      <c r="L5" s="151">
        <f t="shared" si="0"/>
        <v>60267</v>
      </c>
      <c r="M5" s="151">
        <f t="shared" si="0"/>
        <v>58982</v>
      </c>
      <c r="N5" s="151">
        <f t="shared" si="0"/>
        <v>57728</v>
      </c>
      <c r="O5" s="151">
        <f t="shared" si="0"/>
        <v>56427</v>
      </c>
      <c r="P5" s="151">
        <f t="shared" si="0"/>
        <v>54302</v>
      </c>
      <c r="Q5" s="151">
        <f t="shared" si="0"/>
        <v>53342</v>
      </c>
      <c r="R5" s="151">
        <f t="shared" si="0"/>
        <v>50351.44</v>
      </c>
      <c r="S5" s="151">
        <f t="shared" si="0"/>
        <v>47290</v>
      </c>
      <c r="T5" s="151">
        <f t="shared" si="0"/>
        <v>45346</v>
      </c>
      <c r="U5" s="152">
        <f t="shared" si="0"/>
        <v>43104</v>
      </c>
      <c r="V5" s="152">
        <f t="shared" si="0"/>
        <v>42539.56</v>
      </c>
      <c r="W5" s="152">
        <f t="shared" si="0"/>
        <v>38940.64</v>
      </c>
      <c r="X5" s="152">
        <f t="shared" si="0"/>
        <v>34814</v>
      </c>
      <c r="Y5" s="152">
        <f t="shared" si="0"/>
        <v>31030</v>
      </c>
      <c r="Z5" s="152">
        <f t="shared" si="0"/>
        <v>30268</v>
      </c>
      <c r="AA5" s="153">
        <f>100*(Z5/Y5-1)</f>
        <v>-2.455688043828552</v>
      </c>
      <c r="AB5" s="153">
        <f aca="true" t="shared" si="1" ref="AB5:AB40">(Z5/P5-1)*100</f>
        <v>-44.25987993075762</v>
      </c>
      <c r="AC5" s="148" t="s">
        <v>161</v>
      </c>
      <c r="AE5" s="212"/>
    </row>
    <row r="6" spans="2:31" ht="12.75">
      <c r="B6" s="215" t="s">
        <v>162</v>
      </c>
      <c r="C6" s="207">
        <f>SUM(C8,C11:C12,C14:C18,C22,C25:C26,C28,C32:C34)</f>
        <v>30099</v>
      </c>
      <c r="D6" s="216">
        <f aca="true" t="shared" si="2" ref="D6:Y6">SUM(D8,D11:D12,D14:D18,D22,D25:D26,D28,D32:D34)</f>
        <v>26756</v>
      </c>
      <c r="E6" s="207">
        <f t="shared" si="2"/>
        <v>37684</v>
      </c>
      <c r="F6" s="208">
        <f t="shared" si="2"/>
        <v>38514</v>
      </c>
      <c r="G6" s="208">
        <f t="shared" si="2"/>
        <v>35893</v>
      </c>
      <c r="H6" s="208">
        <f t="shared" si="2"/>
        <v>32121</v>
      </c>
      <c r="I6" s="208">
        <f t="shared" si="2"/>
        <v>31923</v>
      </c>
      <c r="J6" s="208">
        <f t="shared" si="2"/>
        <v>31866</v>
      </c>
      <c r="K6" s="208">
        <f t="shared" si="2"/>
        <v>29880</v>
      </c>
      <c r="L6" s="208">
        <f t="shared" si="2"/>
        <v>31230</v>
      </c>
      <c r="M6" s="208">
        <f t="shared" si="2"/>
        <v>30551</v>
      </c>
      <c r="N6" s="208">
        <f t="shared" si="2"/>
        <v>30297</v>
      </c>
      <c r="O6" s="208">
        <f t="shared" si="2"/>
        <v>30012</v>
      </c>
      <c r="P6" s="208">
        <f t="shared" si="2"/>
        <v>28543</v>
      </c>
      <c r="Q6" s="208">
        <f t="shared" si="2"/>
        <v>28403</v>
      </c>
      <c r="R6" s="208">
        <f t="shared" si="2"/>
        <v>27753.44</v>
      </c>
      <c r="S6" s="208">
        <f t="shared" si="2"/>
        <v>26318</v>
      </c>
      <c r="T6" s="208">
        <f t="shared" si="2"/>
        <v>25057</v>
      </c>
      <c r="U6" s="209">
        <f t="shared" si="2"/>
        <v>23990</v>
      </c>
      <c r="V6" s="209">
        <f t="shared" si="2"/>
        <v>23584</v>
      </c>
      <c r="W6" s="209">
        <f t="shared" si="2"/>
        <v>21354</v>
      </c>
      <c r="X6" s="209">
        <f t="shared" si="2"/>
        <v>18427</v>
      </c>
      <c r="Y6" s="209">
        <f t="shared" si="2"/>
        <v>16401</v>
      </c>
      <c r="Z6" s="209">
        <f>SUM(Z8,Z11:Z12,Z14:Z18,Z22,Z25:Z26,Z28,Z32:Z34)</f>
        <v>15854</v>
      </c>
      <c r="AA6" s="210">
        <f>100*(Z6/X6-1)</f>
        <v>-13.96320616486677</v>
      </c>
      <c r="AB6" s="210">
        <f t="shared" si="1"/>
        <v>-44.45573345478751</v>
      </c>
      <c r="AC6" s="215" t="s">
        <v>162</v>
      </c>
      <c r="AE6" s="212"/>
    </row>
    <row r="7" spans="2:31" ht="12.75">
      <c r="B7" s="156" t="s">
        <v>163</v>
      </c>
      <c r="C7" s="157"/>
      <c r="D7" s="158"/>
      <c r="E7" s="159">
        <f aca="true" t="shared" si="3" ref="E7:U7">SUM(E9,E10,E13,E19,E20,E21,E23,E24,E27,E29,E30,E31)</f>
        <v>38293</v>
      </c>
      <c r="F7" s="157">
        <f t="shared" si="3"/>
        <v>36832</v>
      </c>
      <c r="G7" s="157">
        <f t="shared" si="3"/>
        <v>34781</v>
      </c>
      <c r="H7" s="157">
        <f t="shared" si="3"/>
        <v>33320</v>
      </c>
      <c r="I7" s="157">
        <f t="shared" si="3"/>
        <v>31980</v>
      </c>
      <c r="J7" s="157">
        <f t="shared" si="3"/>
        <v>31289</v>
      </c>
      <c r="K7" s="157">
        <f t="shared" si="3"/>
        <v>29521</v>
      </c>
      <c r="L7" s="157">
        <f t="shared" si="3"/>
        <v>29037</v>
      </c>
      <c r="M7" s="157">
        <f t="shared" si="3"/>
        <v>28431</v>
      </c>
      <c r="N7" s="157">
        <f t="shared" si="3"/>
        <v>27431</v>
      </c>
      <c r="O7" s="157">
        <f t="shared" si="3"/>
        <v>26415</v>
      </c>
      <c r="P7" s="157">
        <f t="shared" si="3"/>
        <v>25759</v>
      </c>
      <c r="Q7" s="157">
        <f t="shared" si="3"/>
        <v>24939</v>
      </c>
      <c r="R7" s="157">
        <f t="shared" si="3"/>
        <v>22598</v>
      </c>
      <c r="S7" s="157">
        <f t="shared" si="3"/>
        <v>20972</v>
      </c>
      <c r="T7" s="157">
        <f t="shared" si="3"/>
        <v>20289</v>
      </c>
      <c r="U7" s="160">
        <f t="shared" si="3"/>
        <v>19114</v>
      </c>
      <c r="V7" s="160">
        <f>SUM(V9,V10,V13,V19,V20,V21,V23,V24,V27,V29,V30,V31)</f>
        <v>18955.559999999998</v>
      </c>
      <c r="W7" s="160">
        <f>SUM(W9,W10,W13,W19,W20,W21,W23,W24,W27,W29,W30,W31)</f>
        <v>17586.64</v>
      </c>
      <c r="X7" s="160">
        <f>SUM(X9,X10,X13,X19,X20,X21,X23,X24,X27,X29,X30,X31)</f>
        <v>16387</v>
      </c>
      <c r="Y7" s="160">
        <f>SUM(Y9,Y10,Y13,Y19,Y20,Y21,Y23,Y24,Y27,Y29,Y30,Y31)</f>
        <v>14629</v>
      </c>
      <c r="Z7" s="160">
        <f>SUM(Z9,Z10,Z13,Z19,Z20,Z21,Z23,Z24,Z27,Z29,Z30,Z31)</f>
        <v>14414</v>
      </c>
      <c r="AA7" s="161">
        <f>100*(Z7/X7-1)</f>
        <v>-12.040031732470858</v>
      </c>
      <c r="AB7" s="161">
        <f t="shared" si="1"/>
        <v>-44.04285880663069</v>
      </c>
      <c r="AC7" s="156" t="s">
        <v>163</v>
      </c>
      <c r="AE7" s="212"/>
    </row>
    <row r="8" spans="1:31" ht="12.75">
      <c r="A8" s="120"/>
      <c r="B8" s="110" t="s">
        <v>82</v>
      </c>
      <c r="C8" s="162">
        <v>2507</v>
      </c>
      <c r="D8" s="163">
        <v>2003</v>
      </c>
      <c r="E8" s="162">
        <v>1391</v>
      </c>
      <c r="F8" s="164">
        <v>1551</v>
      </c>
      <c r="G8" s="164">
        <v>1403</v>
      </c>
      <c r="H8" s="164">
        <v>1283</v>
      </c>
      <c r="I8" s="164">
        <v>1338</v>
      </c>
      <c r="J8" s="164">
        <v>1210</v>
      </c>
      <c r="K8" s="164">
        <v>1027</v>
      </c>
      <c r="L8" s="164">
        <v>1105</v>
      </c>
      <c r="M8" s="164">
        <v>963</v>
      </c>
      <c r="N8" s="164">
        <v>1079</v>
      </c>
      <c r="O8" s="164">
        <v>976</v>
      </c>
      <c r="P8" s="164">
        <v>958</v>
      </c>
      <c r="Q8" s="164">
        <v>956</v>
      </c>
      <c r="R8" s="164">
        <v>931</v>
      </c>
      <c r="S8" s="164">
        <v>878</v>
      </c>
      <c r="T8" s="164">
        <v>768</v>
      </c>
      <c r="U8" s="165">
        <v>730</v>
      </c>
      <c r="V8" s="165">
        <v>691</v>
      </c>
      <c r="W8" s="166">
        <v>679</v>
      </c>
      <c r="X8" s="166">
        <v>633</v>
      </c>
      <c r="Y8" s="166">
        <v>552</v>
      </c>
      <c r="Z8" s="166">
        <v>523</v>
      </c>
      <c r="AA8" s="167">
        <f aca="true" t="shared" si="4" ref="AA8:AA40">100*(Z8/Y8-1)</f>
        <v>-5.253623188405799</v>
      </c>
      <c r="AB8" s="167">
        <f t="shared" si="1"/>
        <v>-45.407098121085596</v>
      </c>
      <c r="AC8" s="203" t="s">
        <v>82</v>
      </c>
      <c r="AD8" s="214"/>
      <c r="AE8" s="212">
        <f>HLOOKUP($B8,'International comparisons-2011'!$M$7:$AM$12,5,FALSE)</f>
        <v>8.443018</v>
      </c>
    </row>
    <row r="9" spans="1:31" ht="12.75">
      <c r="A9" s="120"/>
      <c r="B9" s="107" t="s">
        <v>61</v>
      </c>
      <c r="C9" s="168">
        <v>2950</v>
      </c>
      <c r="D9" s="169">
        <v>2396</v>
      </c>
      <c r="E9" s="168">
        <v>1976</v>
      </c>
      <c r="F9" s="108">
        <v>1873</v>
      </c>
      <c r="G9" s="108">
        <v>1671</v>
      </c>
      <c r="H9" s="108">
        <v>1660</v>
      </c>
      <c r="I9" s="108">
        <v>1692</v>
      </c>
      <c r="J9" s="108">
        <v>1449</v>
      </c>
      <c r="K9" s="108">
        <v>1356</v>
      </c>
      <c r="L9" s="108">
        <v>1364</v>
      </c>
      <c r="M9" s="108">
        <v>1500</v>
      </c>
      <c r="N9" s="108">
        <v>1397</v>
      </c>
      <c r="O9" s="108">
        <v>1470</v>
      </c>
      <c r="P9" s="108">
        <v>1486</v>
      </c>
      <c r="Q9" s="108">
        <v>1306</v>
      </c>
      <c r="R9" s="108">
        <v>1214</v>
      </c>
      <c r="S9" s="108">
        <v>1162</v>
      </c>
      <c r="T9" s="108">
        <v>1089</v>
      </c>
      <c r="U9" s="166">
        <v>1069</v>
      </c>
      <c r="V9" s="166">
        <v>1071</v>
      </c>
      <c r="W9" s="166">
        <v>944</v>
      </c>
      <c r="X9" s="166">
        <v>944</v>
      </c>
      <c r="Y9" s="166">
        <v>812</v>
      </c>
      <c r="Z9" s="166">
        <v>858</v>
      </c>
      <c r="AA9" s="167">
        <f t="shared" si="4"/>
        <v>5.665024630541882</v>
      </c>
      <c r="AB9" s="167">
        <f t="shared" si="1"/>
        <v>-42.261103633916555</v>
      </c>
      <c r="AC9" s="203" t="s">
        <v>61</v>
      </c>
      <c r="AE9" s="212">
        <f>HLOOKUP($B9,'International comparisons-2011'!$M$7:$AM$12,5,FALSE)</f>
        <v>11.041266</v>
      </c>
    </row>
    <row r="10" spans="1:31" ht="12.75">
      <c r="A10" s="120"/>
      <c r="B10" s="154" t="s">
        <v>102</v>
      </c>
      <c r="C10" s="170"/>
      <c r="D10" s="171"/>
      <c r="E10" s="172">
        <v>1567</v>
      </c>
      <c r="F10" s="173">
        <v>1114</v>
      </c>
      <c r="G10" s="173">
        <v>1299</v>
      </c>
      <c r="H10" s="173">
        <v>1307</v>
      </c>
      <c r="I10" s="173">
        <v>1390</v>
      </c>
      <c r="J10" s="173">
        <v>1264</v>
      </c>
      <c r="K10" s="173">
        <v>1014</v>
      </c>
      <c r="L10" s="173">
        <v>915</v>
      </c>
      <c r="M10" s="173">
        <v>1003</v>
      </c>
      <c r="N10" s="173">
        <v>1047</v>
      </c>
      <c r="O10" s="173">
        <v>1012</v>
      </c>
      <c r="P10" s="173">
        <v>1011</v>
      </c>
      <c r="Q10" s="173">
        <v>959</v>
      </c>
      <c r="R10" s="173">
        <v>960</v>
      </c>
      <c r="S10" s="173">
        <v>943</v>
      </c>
      <c r="T10" s="173">
        <v>957</v>
      </c>
      <c r="U10" s="174">
        <v>1043</v>
      </c>
      <c r="V10" s="174">
        <v>1006</v>
      </c>
      <c r="W10" s="174">
        <v>1061</v>
      </c>
      <c r="X10" s="174">
        <v>901</v>
      </c>
      <c r="Y10" s="174">
        <v>776</v>
      </c>
      <c r="Z10" s="174">
        <v>657</v>
      </c>
      <c r="AA10" s="175">
        <f t="shared" si="4"/>
        <v>-15.335051546391753</v>
      </c>
      <c r="AB10" s="175">
        <f t="shared" si="1"/>
        <v>-35.01483679525222</v>
      </c>
      <c r="AC10" s="101" t="s">
        <v>102</v>
      </c>
      <c r="AE10" s="212">
        <f>HLOOKUP($B10,'International comparisons-2011'!$M$7:$AM$12,5,FALSE)</f>
        <v>7.327224</v>
      </c>
    </row>
    <row r="11" spans="1:31" ht="12.75">
      <c r="A11" s="120"/>
      <c r="B11" s="154" t="s">
        <v>72</v>
      </c>
      <c r="C11" s="172" t="s">
        <v>100</v>
      </c>
      <c r="D11" s="176">
        <v>85</v>
      </c>
      <c r="E11" s="172">
        <v>116</v>
      </c>
      <c r="F11" s="173">
        <v>103</v>
      </c>
      <c r="G11" s="173">
        <v>132</v>
      </c>
      <c r="H11" s="173">
        <v>115</v>
      </c>
      <c r="I11" s="173">
        <v>133</v>
      </c>
      <c r="J11" s="173">
        <v>118</v>
      </c>
      <c r="K11" s="177">
        <v>128</v>
      </c>
      <c r="L11" s="177">
        <v>115</v>
      </c>
      <c r="M11" s="177">
        <v>111</v>
      </c>
      <c r="N11" s="177">
        <v>113</v>
      </c>
      <c r="O11" s="177">
        <v>111</v>
      </c>
      <c r="P11" s="177">
        <v>98</v>
      </c>
      <c r="Q11" s="177">
        <v>94</v>
      </c>
      <c r="R11" s="177">
        <v>97</v>
      </c>
      <c r="S11" s="177">
        <v>117</v>
      </c>
      <c r="T11" s="173">
        <v>102</v>
      </c>
      <c r="U11" s="178">
        <v>86</v>
      </c>
      <c r="V11" s="178">
        <v>89</v>
      </c>
      <c r="W11" s="178">
        <v>82</v>
      </c>
      <c r="X11" s="178">
        <v>71</v>
      </c>
      <c r="Y11" s="178">
        <v>60</v>
      </c>
      <c r="Z11" s="178">
        <v>71</v>
      </c>
      <c r="AA11" s="175">
        <f t="shared" si="4"/>
        <v>18.333333333333336</v>
      </c>
      <c r="AB11" s="175">
        <f t="shared" si="1"/>
        <v>-27.55102040816326</v>
      </c>
      <c r="AC11" s="101" t="s">
        <v>72</v>
      </c>
      <c r="AD11" s="214"/>
      <c r="AE11" s="212">
        <f>HLOOKUP($B11,'International comparisons-2011'!$M$7:$AM$12,5,FALSE)</f>
        <v>0.862011</v>
      </c>
    </row>
    <row r="12" spans="1:31" ht="12.75">
      <c r="A12" s="120"/>
      <c r="B12" s="107" t="s">
        <v>62</v>
      </c>
      <c r="C12" s="179"/>
      <c r="D12" s="180"/>
      <c r="E12" s="179">
        <v>1291</v>
      </c>
      <c r="F12" s="108">
        <v>1331</v>
      </c>
      <c r="G12" s="108">
        <v>1571</v>
      </c>
      <c r="H12" s="108">
        <v>1524</v>
      </c>
      <c r="I12" s="108">
        <v>1637</v>
      </c>
      <c r="J12" s="108">
        <v>1588</v>
      </c>
      <c r="K12" s="181">
        <v>1562</v>
      </c>
      <c r="L12" s="181">
        <v>1597</v>
      </c>
      <c r="M12" s="181">
        <v>1360</v>
      </c>
      <c r="N12" s="181">
        <v>1455</v>
      </c>
      <c r="O12" s="181">
        <v>1486</v>
      </c>
      <c r="P12" s="181">
        <v>1333</v>
      </c>
      <c r="Q12" s="181">
        <v>1430</v>
      </c>
      <c r="R12" s="181">
        <v>1447</v>
      </c>
      <c r="S12" s="181">
        <v>1382</v>
      </c>
      <c r="T12" s="108">
        <v>1286</v>
      </c>
      <c r="U12" s="166">
        <v>1063</v>
      </c>
      <c r="V12" s="166">
        <v>1221</v>
      </c>
      <c r="W12" s="166">
        <v>1076</v>
      </c>
      <c r="X12" s="166">
        <v>901</v>
      </c>
      <c r="Y12" s="166">
        <v>802</v>
      </c>
      <c r="Z12" s="166">
        <v>772</v>
      </c>
      <c r="AA12" s="167">
        <f t="shared" si="4"/>
        <v>-3.7406483790523692</v>
      </c>
      <c r="AB12" s="167">
        <f t="shared" si="1"/>
        <v>-42.08552138034508</v>
      </c>
      <c r="AC12" s="101" t="s">
        <v>62</v>
      </c>
      <c r="AD12" s="214"/>
      <c r="AE12" s="212">
        <f>HLOOKUP($B12,'International comparisons-2011'!$M$7:$AM$12,5,FALSE)</f>
        <v>10.505445</v>
      </c>
    </row>
    <row r="13" spans="1:31" ht="12.75">
      <c r="A13" s="120"/>
      <c r="B13" s="107" t="s">
        <v>64</v>
      </c>
      <c r="C13" s="168">
        <v>21332</v>
      </c>
      <c r="D13" s="169">
        <v>15050</v>
      </c>
      <c r="E13" s="168">
        <v>11046</v>
      </c>
      <c r="F13" s="108">
        <v>11300</v>
      </c>
      <c r="G13" s="108">
        <v>10631</v>
      </c>
      <c r="H13" s="108">
        <v>9949</v>
      </c>
      <c r="I13" s="108">
        <v>9814</v>
      </c>
      <c r="J13" s="108">
        <v>9454</v>
      </c>
      <c r="K13" s="181">
        <v>8758</v>
      </c>
      <c r="L13" s="181">
        <v>8549</v>
      </c>
      <c r="M13" s="181">
        <v>7792</v>
      </c>
      <c r="N13" s="181">
        <v>7772</v>
      </c>
      <c r="O13" s="181">
        <v>7503</v>
      </c>
      <c r="P13" s="181">
        <v>6977</v>
      </c>
      <c r="Q13" s="181">
        <v>6842</v>
      </c>
      <c r="R13" s="181">
        <v>6613</v>
      </c>
      <c r="S13" s="181">
        <v>5842</v>
      </c>
      <c r="T13" s="108">
        <v>5361</v>
      </c>
      <c r="U13" s="166">
        <v>5091</v>
      </c>
      <c r="V13" s="166">
        <v>4949</v>
      </c>
      <c r="W13" s="166">
        <v>4477</v>
      </c>
      <c r="X13" s="166">
        <v>4152</v>
      </c>
      <c r="Y13" s="166">
        <v>3648</v>
      </c>
      <c r="Z13" s="166">
        <v>4009</v>
      </c>
      <c r="AA13" s="167">
        <f t="shared" si="4"/>
        <v>9.895833333333325</v>
      </c>
      <c r="AB13" s="167">
        <f t="shared" si="1"/>
        <v>-42.539773541636805</v>
      </c>
      <c r="AC13" s="203" t="s">
        <v>64</v>
      </c>
      <c r="AE13" s="212">
        <f>HLOOKUP($B13,'International comparisons-2011'!$M$7:$AM$12,5,FALSE)</f>
        <v>81.843743</v>
      </c>
    </row>
    <row r="14" spans="1:31" ht="12.75">
      <c r="A14" s="120"/>
      <c r="B14" s="154" t="s">
        <v>14</v>
      </c>
      <c r="C14" s="172">
        <v>1208</v>
      </c>
      <c r="D14" s="176">
        <v>690</v>
      </c>
      <c r="E14" s="172">
        <v>634</v>
      </c>
      <c r="F14" s="173">
        <v>606</v>
      </c>
      <c r="G14" s="173">
        <v>577</v>
      </c>
      <c r="H14" s="173">
        <v>559</v>
      </c>
      <c r="I14" s="173">
        <v>546</v>
      </c>
      <c r="J14" s="173">
        <v>582</v>
      </c>
      <c r="K14" s="177">
        <v>514</v>
      </c>
      <c r="L14" s="177">
        <v>489</v>
      </c>
      <c r="M14" s="177">
        <v>499</v>
      </c>
      <c r="N14" s="177">
        <v>514</v>
      </c>
      <c r="O14" s="177">
        <v>498</v>
      </c>
      <c r="P14" s="177">
        <v>431</v>
      </c>
      <c r="Q14" s="177">
        <v>463</v>
      </c>
      <c r="R14" s="177">
        <v>432</v>
      </c>
      <c r="S14" s="177">
        <v>369</v>
      </c>
      <c r="T14" s="173">
        <v>331</v>
      </c>
      <c r="U14" s="178">
        <v>306</v>
      </c>
      <c r="V14" s="178">
        <v>406</v>
      </c>
      <c r="W14" s="178">
        <v>406</v>
      </c>
      <c r="X14" s="178">
        <v>303</v>
      </c>
      <c r="Y14" s="178">
        <v>255</v>
      </c>
      <c r="Z14" s="178">
        <v>220</v>
      </c>
      <c r="AA14" s="175">
        <f t="shared" si="4"/>
        <v>-13.725490196078427</v>
      </c>
      <c r="AB14" s="175">
        <f t="shared" si="1"/>
        <v>-48.95591647331786</v>
      </c>
      <c r="AC14" s="203" t="s">
        <v>14</v>
      </c>
      <c r="AD14" s="214"/>
      <c r="AE14" s="212">
        <f>HLOOKUP($B14,'International comparisons-2011'!$M$7:$AM$12,5,FALSE)</f>
        <v>5.580516</v>
      </c>
    </row>
    <row r="15" spans="1:31" ht="12.75">
      <c r="A15" s="120"/>
      <c r="B15" s="154" t="s">
        <v>65</v>
      </c>
      <c r="C15" s="172" t="s">
        <v>100</v>
      </c>
      <c r="D15" s="176" t="s">
        <v>100</v>
      </c>
      <c r="E15" s="172">
        <v>436</v>
      </c>
      <c r="F15" s="173">
        <v>490</v>
      </c>
      <c r="G15" s="173">
        <v>287</v>
      </c>
      <c r="H15" s="173">
        <v>321</v>
      </c>
      <c r="I15" s="173">
        <v>364</v>
      </c>
      <c r="J15" s="173">
        <v>332</v>
      </c>
      <c r="K15" s="177">
        <v>213</v>
      </c>
      <c r="L15" s="177">
        <v>280</v>
      </c>
      <c r="M15" s="177">
        <v>284</v>
      </c>
      <c r="N15" s="177">
        <v>232</v>
      </c>
      <c r="O15" s="177">
        <v>204</v>
      </c>
      <c r="P15" s="177">
        <v>199</v>
      </c>
      <c r="Q15" s="177">
        <v>223</v>
      </c>
      <c r="R15" s="177">
        <v>164</v>
      </c>
      <c r="S15" s="177">
        <v>170</v>
      </c>
      <c r="T15" s="173">
        <v>170</v>
      </c>
      <c r="U15" s="178">
        <v>204</v>
      </c>
      <c r="V15" s="178">
        <v>196</v>
      </c>
      <c r="W15" s="178">
        <v>132</v>
      </c>
      <c r="X15" s="178">
        <v>98</v>
      </c>
      <c r="Y15" s="178">
        <v>78</v>
      </c>
      <c r="Z15" s="178">
        <v>101</v>
      </c>
      <c r="AA15" s="175">
        <f t="shared" si="4"/>
        <v>29.487179487179493</v>
      </c>
      <c r="AB15" s="175">
        <f t="shared" si="1"/>
        <v>-49.246231155778894</v>
      </c>
      <c r="AC15" s="101" t="s">
        <v>65</v>
      </c>
      <c r="AD15" s="214"/>
      <c r="AE15" s="212">
        <f>HLOOKUP($B15,'International comparisons-2011'!$M$7:$AM$12,5,FALSE)</f>
        <v>1.339662</v>
      </c>
    </row>
    <row r="16" spans="1:31" ht="12.75">
      <c r="A16" s="120"/>
      <c r="B16" s="154" t="s">
        <v>15</v>
      </c>
      <c r="C16" s="172">
        <v>1099</v>
      </c>
      <c r="D16" s="176">
        <v>1445</v>
      </c>
      <c r="E16" s="172">
        <v>2050</v>
      </c>
      <c r="F16" s="173">
        <v>2112</v>
      </c>
      <c r="G16" s="173">
        <v>2158</v>
      </c>
      <c r="H16" s="173">
        <v>2160</v>
      </c>
      <c r="I16" s="173">
        <v>2253</v>
      </c>
      <c r="J16" s="173">
        <v>2412</v>
      </c>
      <c r="K16" s="177">
        <v>2157</v>
      </c>
      <c r="L16" s="177">
        <v>2105</v>
      </c>
      <c r="M16" s="177">
        <v>2182</v>
      </c>
      <c r="N16" s="177">
        <v>2116</v>
      </c>
      <c r="O16" s="177">
        <v>2037</v>
      </c>
      <c r="P16" s="177">
        <v>1880</v>
      </c>
      <c r="Q16" s="177">
        <v>1634</v>
      </c>
      <c r="R16" s="177">
        <v>1605</v>
      </c>
      <c r="S16" s="177">
        <v>1670</v>
      </c>
      <c r="T16" s="173">
        <v>1658</v>
      </c>
      <c r="U16" s="178">
        <v>1657</v>
      </c>
      <c r="V16" s="178">
        <v>1612</v>
      </c>
      <c r="W16" s="178">
        <v>1555</v>
      </c>
      <c r="X16" s="178">
        <v>1456</v>
      </c>
      <c r="Y16" s="178">
        <v>1258</v>
      </c>
      <c r="Z16" s="178">
        <v>1141</v>
      </c>
      <c r="AA16" s="175">
        <f t="shared" si="4"/>
        <v>-9.300476947535774</v>
      </c>
      <c r="AB16" s="175">
        <f t="shared" si="1"/>
        <v>-39.308510638297875</v>
      </c>
      <c r="AC16" s="203" t="s">
        <v>15</v>
      </c>
      <c r="AD16" s="214"/>
      <c r="AE16" s="212">
        <f>HLOOKUP($B16,'International comparisons-2011'!$M$7:$AM$12,5,FALSE)</f>
        <v>11.290935</v>
      </c>
    </row>
    <row r="17" spans="1:31" ht="12.75">
      <c r="A17" s="120"/>
      <c r="B17" s="107" t="s">
        <v>67</v>
      </c>
      <c r="C17" s="168">
        <v>5456</v>
      </c>
      <c r="D17" s="169">
        <v>6522</v>
      </c>
      <c r="E17" s="168">
        <v>9032</v>
      </c>
      <c r="F17" s="108">
        <v>8837</v>
      </c>
      <c r="G17" s="108">
        <v>7818</v>
      </c>
      <c r="H17" s="108">
        <v>6375</v>
      </c>
      <c r="I17" s="108">
        <v>5612</v>
      </c>
      <c r="J17" s="108">
        <v>5749</v>
      </c>
      <c r="K17" s="181">
        <v>5482</v>
      </c>
      <c r="L17" s="181">
        <v>5604</v>
      </c>
      <c r="M17" s="181">
        <v>5956</v>
      </c>
      <c r="N17" s="181">
        <v>5738</v>
      </c>
      <c r="O17" s="181">
        <v>5777</v>
      </c>
      <c r="P17" s="181">
        <v>5517</v>
      </c>
      <c r="Q17" s="181">
        <v>5347</v>
      </c>
      <c r="R17" s="181">
        <v>5400</v>
      </c>
      <c r="S17" s="181">
        <v>4749</v>
      </c>
      <c r="T17" s="108">
        <v>4442</v>
      </c>
      <c r="U17" s="166">
        <v>4104</v>
      </c>
      <c r="V17" s="166">
        <v>3823</v>
      </c>
      <c r="W17" s="166">
        <v>3100</v>
      </c>
      <c r="X17" s="166">
        <v>2714</v>
      </c>
      <c r="Y17" s="166">
        <v>2479</v>
      </c>
      <c r="Z17" s="166">
        <v>2060</v>
      </c>
      <c r="AA17" s="167">
        <f t="shared" si="4"/>
        <v>-16.901976603469137</v>
      </c>
      <c r="AB17" s="167">
        <f t="shared" si="1"/>
        <v>-62.660866412905555</v>
      </c>
      <c r="AC17" s="203" t="s">
        <v>67</v>
      </c>
      <c r="AD17" s="214"/>
      <c r="AE17" s="212">
        <f>HLOOKUP($B17,'International comparisons-2011'!$M$7:$AM$12,5,FALSE)</f>
        <v>46.196276</v>
      </c>
    </row>
    <row r="18" spans="1:31" ht="12.75">
      <c r="A18" s="120"/>
      <c r="B18" s="107" t="s">
        <v>88</v>
      </c>
      <c r="C18" s="168">
        <v>1055</v>
      </c>
      <c r="D18" s="169">
        <v>551</v>
      </c>
      <c r="E18" s="168">
        <v>649</v>
      </c>
      <c r="F18" s="108">
        <v>632</v>
      </c>
      <c r="G18" s="108">
        <v>601</v>
      </c>
      <c r="H18" s="108">
        <v>484</v>
      </c>
      <c r="I18" s="108">
        <v>480</v>
      </c>
      <c r="J18" s="108">
        <v>441</v>
      </c>
      <c r="K18" s="181">
        <v>404</v>
      </c>
      <c r="L18" s="181">
        <v>438</v>
      </c>
      <c r="M18" s="181">
        <v>400</v>
      </c>
      <c r="N18" s="181">
        <v>431</v>
      </c>
      <c r="O18" s="181">
        <v>396</v>
      </c>
      <c r="P18" s="181">
        <v>433</v>
      </c>
      <c r="Q18" s="181">
        <v>415</v>
      </c>
      <c r="R18" s="181">
        <v>379</v>
      </c>
      <c r="S18" s="181">
        <v>375</v>
      </c>
      <c r="T18" s="108">
        <v>379</v>
      </c>
      <c r="U18" s="166">
        <v>336</v>
      </c>
      <c r="V18" s="166">
        <v>380</v>
      </c>
      <c r="W18" s="166">
        <v>344</v>
      </c>
      <c r="X18" s="166">
        <v>279</v>
      </c>
      <c r="Y18" s="166">
        <v>272</v>
      </c>
      <c r="Z18" s="166">
        <v>292</v>
      </c>
      <c r="AA18" s="167">
        <f t="shared" si="4"/>
        <v>7.352941176470584</v>
      </c>
      <c r="AB18" s="167">
        <f t="shared" si="1"/>
        <v>-32.56351039260969</v>
      </c>
      <c r="AC18" s="203" t="s">
        <v>88</v>
      </c>
      <c r="AD18" s="214"/>
      <c r="AE18" s="212">
        <f>HLOOKUP($B18,'International comparisons-2011'!$M$7:$AM$12,5,FALSE)</f>
        <v>5.401267</v>
      </c>
    </row>
    <row r="19" spans="1:31" ht="12.75">
      <c r="A19" s="120"/>
      <c r="B19" s="154" t="s">
        <v>68</v>
      </c>
      <c r="C19" s="172">
        <v>16448</v>
      </c>
      <c r="D19" s="176">
        <v>13672</v>
      </c>
      <c r="E19" s="172">
        <v>11215</v>
      </c>
      <c r="F19" s="173">
        <v>10483</v>
      </c>
      <c r="G19" s="173">
        <v>9902</v>
      </c>
      <c r="H19" s="173">
        <v>9865</v>
      </c>
      <c r="I19" s="173">
        <v>9019</v>
      </c>
      <c r="J19" s="173">
        <v>8892</v>
      </c>
      <c r="K19" s="177">
        <v>8540</v>
      </c>
      <c r="L19" s="177">
        <v>8445</v>
      </c>
      <c r="M19" s="177">
        <v>8920</v>
      </c>
      <c r="N19" s="177">
        <v>8486</v>
      </c>
      <c r="O19" s="177">
        <v>8079</v>
      </c>
      <c r="P19" s="177">
        <v>8162</v>
      </c>
      <c r="Q19" s="177">
        <v>7655</v>
      </c>
      <c r="R19" s="177">
        <v>6058</v>
      </c>
      <c r="S19" s="177">
        <v>5530</v>
      </c>
      <c r="T19" s="173">
        <v>5318</v>
      </c>
      <c r="U19" s="178">
        <v>4709</v>
      </c>
      <c r="V19" s="178">
        <v>4620</v>
      </c>
      <c r="W19" s="178">
        <v>4275</v>
      </c>
      <c r="X19" s="178">
        <v>4273</v>
      </c>
      <c r="Y19" s="178">
        <v>3992</v>
      </c>
      <c r="Z19" s="178">
        <v>3963</v>
      </c>
      <c r="AA19" s="175">
        <f t="shared" si="4"/>
        <v>-0.7264529058116254</v>
      </c>
      <c r="AB19" s="175">
        <f t="shared" si="1"/>
        <v>-51.445724087233515</v>
      </c>
      <c r="AC19" s="203" t="s">
        <v>68</v>
      </c>
      <c r="AE19" s="212">
        <f>HLOOKUP($B19,'International comparisons-2011'!$M$7:$AM$12,5,FALSE)</f>
        <v>63.460768</v>
      </c>
    </row>
    <row r="20" spans="1:31" ht="12.75">
      <c r="A20" s="120"/>
      <c r="B20" s="154" t="s">
        <v>78</v>
      </c>
      <c r="C20" s="172" t="s">
        <v>100</v>
      </c>
      <c r="D20" s="176" t="s">
        <v>100</v>
      </c>
      <c r="E20" s="172">
        <v>2432</v>
      </c>
      <c r="F20" s="173">
        <v>2120</v>
      </c>
      <c r="G20" s="173">
        <v>2101</v>
      </c>
      <c r="H20" s="173">
        <v>1678</v>
      </c>
      <c r="I20" s="173">
        <v>1562</v>
      </c>
      <c r="J20" s="173">
        <v>1589</v>
      </c>
      <c r="K20" s="177">
        <v>1370</v>
      </c>
      <c r="L20" s="177">
        <v>1391</v>
      </c>
      <c r="M20" s="177">
        <v>1371</v>
      </c>
      <c r="N20" s="177">
        <v>1306</v>
      </c>
      <c r="O20" s="177">
        <v>1200</v>
      </c>
      <c r="P20" s="177">
        <v>1239</v>
      </c>
      <c r="Q20" s="177">
        <v>1429</v>
      </c>
      <c r="R20" s="177">
        <v>1326</v>
      </c>
      <c r="S20" s="177">
        <v>1296</v>
      </c>
      <c r="T20" s="173">
        <v>1278</v>
      </c>
      <c r="U20" s="178">
        <v>1303</v>
      </c>
      <c r="V20" s="178">
        <v>1232</v>
      </c>
      <c r="W20" s="178">
        <v>996</v>
      </c>
      <c r="X20" s="178">
        <v>822</v>
      </c>
      <c r="Y20" s="178">
        <v>740</v>
      </c>
      <c r="Z20" s="178">
        <v>638</v>
      </c>
      <c r="AA20" s="175">
        <f t="shared" si="4"/>
        <v>-13.783783783783788</v>
      </c>
      <c r="AB20" s="175">
        <f t="shared" si="1"/>
        <v>-48.506860371267145</v>
      </c>
      <c r="AC20" s="101" t="s">
        <v>78</v>
      </c>
      <c r="AE20" s="212">
        <f>HLOOKUP($B20,'International comparisons-2011'!$M$7:$AM$12,5,FALSE)</f>
        <v>9.957731</v>
      </c>
    </row>
    <row r="21" spans="1:31" ht="12.75">
      <c r="A21" s="120"/>
      <c r="B21" s="107" t="s">
        <v>69</v>
      </c>
      <c r="C21" s="168">
        <v>540</v>
      </c>
      <c r="D21" s="169">
        <v>564</v>
      </c>
      <c r="E21" s="168">
        <v>478</v>
      </c>
      <c r="F21" s="108">
        <v>445</v>
      </c>
      <c r="G21" s="108">
        <v>415</v>
      </c>
      <c r="H21" s="108">
        <v>431</v>
      </c>
      <c r="I21" s="108">
        <v>404</v>
      </c>
      <c r="J21" s="108">
        <v>437</v>
      </c>
      <c r="K21" s="181">
        <v>453</v>
      </c>
      <c r="L21" s="181">
        <v>473</v>
      </c>
      <c r="M21" s="181">
        <v>458</v>
      </c>
      <c r="N21" s="181">
        <v>414</v>
      </c>
      <c r="O21" s="181">
        <v>418</v>
      </c>
      <c r="P21" s="181">
        <v>412</v>
      </c>
      <c r="Q21" s="181">
        <v>376</v>
      </c>
      <c r="R21" s="181">
        <v>337</v>
      </c>
      <c r="S21" s="181">
        <v>377</v>
      </c>
      <c r="T21" s="108">
        <v>400</v>
      </c>
      <c r="U21" s="166">
        <v>365</v>
      </c>
      <c r="V21" s="166">
        <v>338</v>
      </c>
      <c r="W21" s="166">
        <v>280</v>
      </c>
      <c r="X21" s="166">
        <v>239</v>
      </c>
      <c r="Y21" s="166">
        <v>212</v>
      </c>
      <c r="Z21" s="166">
        <v>186</v>
      </c>
      <c r="AA21" s="167">
        <f t="shared" si="4"/>
        <v>-12.264150943396224</v>
      </c>
      <c r="AB21" s="167">
        <f t="shared" si="1"/>
        <v>-54.85436893203883</v>
      </c>
      <c r="AC21" s="203" t="s">
        <v>69</v>
      </c>
      <c r="AE21" s="212">
        <f>HLOOKUP($B21,'International comparisons-2011'!$M$7:$AM$12,5,FALSE)</f>
        <v>4.582769</v>
      </c>
    </row>
    <row r="22" spans="1:31" ht="12.75">
      <c r="A22" s="120"/>
      <c r="B22" s="107" t="s">
        <v>70</v>
      </c>
      <c r="C22" s="168">
        <v>11004</v>
      </c>
      <c r="D22" s="169">
        <v>9220</v>
      </c>
      <c r="E22" s="168">
        <v>7151</v>
      </c>
      <c r="F22" s="108">
        <v>8109</v>
      </c>
      <c r="G22" s="108">
        <v>8053</v>
      </c>
      <c r="H22" s="108">
        <v>7187</v>
      </c>
      <c r="I22" s="108">
        <v>7091</v>
      </c>
      <c r="J22" s="108">
        <v>7020</v>
      </c>
      <c r="K22" s="181">
        <v>6676</v>
      </c>
      <c r="L22" s="181">
        <v>6714</v>
      </c>
      <c r="M22" s="181">
        <v>6313</v>
      </c>
      <c r="N22" s="181">
        <v>6688</v>
      </c>
      <c r="O22" s="181">
        <v>7061</v>
      </c>
      <c r="P22" s="181">
        <v>7096</v>
      </c>
      <c r="Q22" s="181">
        <v>6980</v>
      </c>
      <c r="R22" s="181">
        <v>6563</v>
      </c>
      <c r="S22" s="181">
        <v>6122</v>
      </c>
      <c r="T22" s="108">
        <v>5818</v>
      </c>
      <c r="U22" s="166">
        <v>5669</v>
      </c>
      <c r="V22" s="166">
        <v>5131</v>
      </c>
      <c r="W22" s="166">
        <v>4731</v>
      </c>
      <c r="X22" s="166">
        <v>4237</v>
      </c>
      <c r="Y22" s="166">
        <v>4090</v>
      </c>
      <c r="Z22" s="166">
        <v>3860</v>
      </c>
      <c r="AA22" s="167">
        <f t="shared" si="4"/>
        <v>-5.623471882640585</v>
      </c>
      <c r="AB22" s="167">
        <f t="shared" si="1"/>
        <v>-45.60315670800451</v>
      </c>
      <c r="AC22" s="203" t="s">
        <v>70</v>
      </c>
      <c r="AD22" s="214"/>
      <c r="AE22" s="212">
        <f>HLOOKUP($B22,'International comparisons-2011'!$M$7:$AM$12,5,FALSE)</f>
        <v>60.820764</v>
      </c>
    </row>
    <row r="23" spans="1:31" ht="12.75">
      <c r="A23" s="120"/>
      <c r="B23" s="154" t="s">
        <v>74</v>
      </c>
      <c r="C23" s="172" t="s">
        <v>100</v>
      </c>
      <c r="D23" s="176" t="s">
        <v>100</v>
      </c>
      <c r="E23" s="172">
        <v>933</v>
      </c>
      <c r="F23" s="173">
        <v>1093</v>
      </c>
      <c r="G23" s="173">
        <v>779</v>
      </c>
      <c r="H23" s="173">
        <v>958</v>
      </c>
      <c r="I23" s="173">
        <v>765</v>
      </c>
      <c r="J23" s="173">
        <v>672</v>
      </c>
      <c r="K23" s="177">
        <v>667</v>
      </c>
      <c r="L23" s="177">
        <v>752</v>
      </c>
      <c r="M23" s="177">
        <v>829</v>
      </c>
      <c r="N23" s="177">
        <v>748</v>
      </c>
      <c r="O23" s="177">
        <v>641</v>
      </c>
      <c r="P23" s="177">
        <v>706</v>
      </c>
      <c r="Q23" s="177">
        <v>697</v>
      </c>
      <c r="R23" s="177">
        <v>709</v>
      </c>
      <c r="S23" s="177">
        <v>752</v>
      </c>
      <c r="T23" s="173">
        <v>773</v>
      </c>
      <c r="U23" s="178">
        <v>760</v>
      </c>
      <c r="V23" s="178">
        <v>740</v>
      </c>
      <c r="W23" s="178">
        <v>499</v>
      </c>
      <c r="X23" s="178">
        <v>370</v>
      </c>
      <c r="Y23" s="178">
        <v>300</v>
      </c>
      <c r="Z23" s="178">
        <v>296</v>
      </c>
      <c r="AA23" s="175">
        <f t="shared" si="4"/>
        <v>-1.3333333333333308</v>
      </c>
      <c r="AB23" s="175">
        <f t="shared" si="1"/>
        <v>-58.073654390934834</v>
      </c>
      <c r="AC23" s="101" t="s">
        <v>74</v>
      </c>
      <c r="AE23" s="212">
        <f>HLOOKUP($B23,'International comparisons-2011'!$M$7:$AM$12,5,FALSE)</f>
        <v>3.007758</v>
      </c>
    </row>
    <row r="24" spans="1:31" ht="12.75">
      <c r="A24" s="120"/>
      <c r="B24" s="107" t="s">
        <v>77</v>
      </c>
      <c r="C24" s="168">
        <v>132</v>
      </c>
      <c r="D24" s="169">
        <v>98</v>
      </c>
      <c r="E24" s="168">
        <v>70</v>
      </c>
      <c r="F24" s="108">
        <v>83</v>
      </c>
      <c r="G24" s="108">
        <v>69</v>
      </c>
      <c r="H24" s="108">
        <v>78</v>
      </c>
      <c r="I24" s="108">
        <v>65</v>
      </c>
      <c r="J24" s="108">
        <v>70</v>
      </c>
      <c r="K24" s="181">
        <v>71</v>
      </c>
      <c r="L24" s="181">
        <v>60</v>
      </c>
      <c r="M24" s="181">
        <v>57</v>
      </c>
      <c r="N24" s="181">
        <v>58</v>
      </c>
      <c r="O24" s="181">
        <v>76</v>
      </c>
      <c r="P24" s="181">
        <v>70</v>
      </c>
      <c r="Q24" s="181">
        <v>62</v>
      </c>
      <c r="R24" s="181">
        <v>53</v>
      </c>
      <c r="S24" s="181">
        <v>50</v>
      </c>
      <c r="T24" s="108">
        <v>47</v>
      </c>
      <c r="U24" s="166">
        <v>43</v>
      </c>
      <c r="V24" s="166">
        <v>46</v>
      </c>
      <c r="W24" s="166">
        <v>35</v>
      </c>
      <c r="X24" s="166">
        <v>48</v>
      </c>
      <c r="Y24" s="166">
        <v>32</v>
      </c>
      <c r="Z24" s="166">
        <v>33</v>
      </c>
      <c r="AA24" s="167">
        <f t="shared" si="4"/>
        <v>3.125</v>
      </c>
      <c r="AB24" s="167">
        <f t="shared" si="1"/>
        <v>-52.85714285714286</v>
      </c>
      <c r="AC24" s="203" t="s">
        <v>77</v>
      </c>
      <c r="AE24" s="212">
        <f>HLOOKUP($B24,'International comparisons-2011'!$M$7:$AM$12,5,FALSE)</f>
        <v>0.524853</v>
      </c>
    </row>
    <row r="25" spans="1:31" ht="12.75">
      <c r="A25" s="120"/>
      <c r="B25" s="107" t="s">
        <v>73</v>
      </c>
      <c r="C25" s="168" t="s">
        <v>100</v>
      </c>
      <c r="D25" s="169" t="s">
        <v>100</v>
      </c>
      <c r="E25" s="168">
        <v>947</v>
      </c>
      <c r="F25" s="108">
        <v>997</v>
      </c>
      <c r="G25" s="108">
        <v>787</v>
      </c>
      <c r="H25" s="108">
        <v>724</v>
      </c>
      <c r="I25" s="108">
        <v>774</v>
      </c>
      <c r="J25" s="108">
        <v>660</v>
      </c>
      <c r="K25" s="181">
        <v>594</v>
      </c>
      <c r="L25" s="181">
        <v>567</v>
      </c>
      <c r="M25" s="181">
        <v>677</v>
      </c>
      <c r="N25" s="181">
        <v>652</v>
      </c>
      <c r="O25" s="181">
        <v>635</v>
      </c>
      <c r="P25" s="181">
        <v>558</v>
      </c>
      <c r="Q25" s="181">
        <v>559</v>
      </c>
      <c r="R25" s="181">
        <v>532.44</v>
      </c>
      <c r="S25" s="181">
        <v>516</v>
      </c>
      <c r="T25" s="108">
        <v>442</v>
      </c>
      <c r="U25" s="166">
        <v>407</v>
      </c>
      <c r="V25" s="166">
        <v>419</v>
      </c>
      <c r="W25" s="166">
        <v>316</v>
      </c>
      <c r="X25" s="166">
        <v>254</v>
      </c>
      <c r="Y25" s="166">
        <v>218</v>
      </c>
      <c r="Z25" s="166">
        <v>179</v>
      </c>
      <c r="AA25" s="167">
        <f t="shared" si="4"/>
        <v>-17.889908256880737</v>
      </c>
      <c r="AB25" s="167">
        <f t="shared" si="1"/>
        <v>-67.92114695340501</v>
      </c>
      <c r="AC25" s="101" t="s">
        <v>73</v>
      </c>
      <c r="AD25" s="214"/>
      <c r="AE25" s="212">
        <f>HLOOKUP($B25,'International comparisons-2011'!$M$7:$AM$12,5,FALSE)</f>
        <v>2.041763</v>
      </c>
    </row>
    <row r="26" spans="1:31" ht="12.75">
      <c r="A26" s="120"/>
      <c r="B26" s="107" t="s">
        <v>79</v>
      </c>
      <c r="C26" s="168" t="s">
        <v>100</v>
      </c>
      <c r="D26" s="169" t="s">
        <v>100</v>
      </c>
      <c r="E26" s="168">
        <v>4</v>
      </c>
      <c r="F26" s="108">
        <v>16</v>
      </c>
      <c r="G26" s="108">
        <v>11</v>
      </c>
      <c r="H26" s="108">
        <v>14</v>
      </c>
      <c r="I26" s="108">
        <v>6</v>
      </c>
      <c r="J26" s="108">
        <v>14</v>
      </c>
      <c r="K26" s="181">
        <v>19</v>
      </c>
      <c r="L26" s="181">
        <v>18</v>
      </c>
      <c r="M26" s="181">
        <v>17</v>
      </c>
      <c r="N26" s="181">
        <v>4</v>
      </c>
      <c r="O26" s="181">
        <v>15</v>
      </c>
      <c r="P26" s="181">
        <v>16</v>
      </c>
      <c r="Q26" s="181">
        <v>16</v>
      </c>
      <c r="R26" s="181">
        <v>16</v>
      </c>
      <c r="S26" s="181">
        <v>13</v>
      </c>
      <c r="T26" s="108">
        <v>17</v>
      </c>
      <c r="U26" s="166">
        <v>11</v>
      </c>
      <c r="V26" s="166">
        <v>14</v>
      </c>
      <c r="W26" s="166">
        <v>15</v>
      </c>
      <c r="X26" s="166">
        <v>21</v>
      </c>
      <c r="Y26" s="166">
        <v>15</v>
      </c>
      <c r="Z26" s="166">
        <v>21</v>
      </c>
      <c r="AA26" s="167">
        <f t="shared" si="4"/>
        <v>39.99999999999999</v>
      </c>
      <c r="AB26" s="167">
        <f t="shared" si="1"/>
        <v>31.25</v>
      </c>
      <c r="AC26" s="101" t="s">
        <v>79</v>
      </c>
      <c r="AD26" s="214"/>
      <c r="AE26" s="212">
        <f>HLOOKUP($B26,'International comparisons-2011'!$M$7:$AM$12,5,FALSE)</f>
        <v>0.41611</v>
      </c>
    </row>
    <row r="27" spans="1:31" ht="12.75">
      <c r="A27" s="120"/>
      <c r="B27" s="154" t="s">
        <v>16</v>
      </c>
      <c r="C27" s="172">
        <v>3181</v>
      </c>
      <c r="D27" s="176">
        <v>1997</v>
      </c>
      <c r="E27" s="172">
        <v>1376</v>
      </c>
      <c r="F27" s="173">
        <v>1281</v>
      </c>
      <c r="G27" s="173">
        <v>1253</v>
      </c>
      <c r="H27" s="173">
        <v>1235</v>
      </c>
      <c r="I27" s="173">
        <v>1298</v>
      </c>
      <c r="J27" s="173">
        <v>1334</v>
      </c>
      <c r="K27" s="177">
        <v>1180</v>
      </c>
      <c r="L27" s="177">
        <v>1163</v>
      </c>
      <c r="M27" s="177">
        <v>1066</v>
      </c>
      <c r="N27" s="177">
        <v>1090</v>
      </c>
      <c r="O27" s="177">
        <v>1082</v>
      </c>
      <c r="P27" s="177">
        <v>993</v>
      </c>
      <c r="Q27" s="177">
        <v>987</v>
      </c>
      <c r="R27" s="177">
        <v>1028</v>
      </c>
      <c r="S27" s="177">
        <v>804</v>
      </c>
      <c r="T27" s="173">
        <v>750</v>
      </c>
      <c r="U27" s="178">
        <v>730</v>
      </c>
      <c r="V27" s="178">
        <v>709</v>
      </c>
      <c r="W27" s="178">
        <v>677</v>
      </c>
      <c r="X27" s="178">
        <v>644</v>
      </c>
      <c r="Y27" s="178">
        <v>537</v>
      </c>
      <c r="Z27" s="178">
        <v>546</v>
      </c>
      <c r="AA27" s="175">
        <f t="shared" si="4"/>
        <v>1.6759776536312776</v>
      </c>
      <c r="AB27" s="175">
        <f t="shared" si="1"/>
        <v>-45.01510574018127</v>
      </c>
      <c r="AC27" s="203" t="s">
        <v>16</v>
      </c>
      <c r="AE27" s="212">
        <f>HLOOKUP($B27,'International comparisons-2011'!$M$7:$AM$12,5,FALSE)</f>
        <v>16.730348</v>
      </c>
    </row>
    <row r="28" spans="1:31" ht="12.75">
      <c r="A28" s="120"/>
      <c r="B28" s="154" t="s">
        <v>81</v>
      </c>
      <c r="C28" s="172" t="s">
        <v>100</v>
      </c>
      <c r="D28" s="176" t="s">
        <v>100</v>
      </c>
      <c r="E28" s="172">
        <v>7333</v>
      </c>
      <c r="F28" s="173">
        <v>7901</v>
      </c>
      <c r="G28" s="173">
        <v>6946</v>
      </c>
      <c r="H28" s="173">
        <v>6341</v>
      </c>
      <c r="I28" s="173">
        <v>6744</v>
      </c>
      <c r="J28" s="173">
        <v>6900</v>
      </c>
      <c r="K28" s="177">
        <v>6359</v>
      </c>
      <c r="L28" s="177">
        <v>7310</v>
      </c>
      <c r="M28" s="177">
        <v>7080</v>
      </c>
      <c r="N28" s="177">
        <v>6730</v>
      </c>
      <c r="O28" s="177">
        <v>6294</v>
      </c>
      <c r="P28" s="177">
        <v>5534</v>
      </c>
      <c r="Q28" s="177">
        <v>5826</v>
      </c>
      <c r="R28" s="177">
        <v>5642</v>
      </c>
      <c r="S28" s="177">
        <v>5712</v>
      </c>
      <c r="T28" s="173">
        <v>5444</v>
      </c>
      <c r="U28" s="178">
        <v>5243</v>
      </c>
      <c r="V28" s="178">
        <v>5583</v>
      </c>
      <c r="W28" s="178">
        <v>5437</v>
      </c>
      <c r="X28" s="178">
        <v>4572</v>
      </c>
      <c r="Y28" s="178">
        <v>3908</v>
      </c>
      <c r="Z28" s="178">
        <v>4189</v>
      </c>
      <c r="AA28" s="175">
        <f t="shared" si="4"/>
        <v>7.190378710337764</v>
      </c>
      <c r="AB28" s="175">
        <f t="shared" si="1"/>
        <v>-24.30430068666426</v>
      </c>
      <c r="AC28" s="101" t="s">
        <v>81</v>
      </c>
      <c r="AD28" s="214"/>
      <c r="AE28" s="212">
        <f>HLOOKUP($B28,'International comparisons-2011'!$M$7:$AM$12,5,FALSE)</f>
        <v>38.538447</v>
      </c>
    </row>
    <row r="29" spans="1:31" ht="12.75">
      <c r="A29" s="120"/>
      <c r="B29" s="107" t="s">
        <v>93</v>
      </c>
      <c r="C29" s="168">
        <v>1842</v>
      </c>
      <c r="D29" s="169">
        <v>2941</v>
      </c>
      <c r="E29" s="168">
        <v>2646</v>
      </c>
      <c r="F29" s="108">
        <v>3217</v>
      </c>
      <c r="G29" s="108">
        <v>3086</v>
      </c>
      <c r="H29" s="108">
        <v>2701</v>
      </c>
      <c r="I29" s="108">
        <v>2505</v>
      </c>
      <c r="J29" s="108">
        <v>2711</v>
      </c>
      <c r="K29" s="181">
        <v>2730</v>
      </c>
      <c r="L29" s="181">
        <v>2521</v>
      </c>
      <c r="M29" s="181">
        <v>2126</v>
      </c>
      <c r="N29" s="181">
        <v>2028</v>
      </c>
      <c r="O29" s="181">
        <v>1877</v>
      </c>
      <c r="P29" s="181">
        <v>1670</v>
      </c>
      <c r="Q29" s="181">
        <v>1655</v>
      </c>
      <c r="R29" s="181">
        <v>1542</v>
      </c>
      <c r="S29" s="181">
        <v>1294</v>
      </c>
      <c r="T29" s="108">
        <v>1247</v>
      </c>
      <c r="U29" s="166">
        <v>969</v>
      </c>
      <c r="V29" s="166">
        <v>973.56</v>
      </c>
      <c r="W29" s="166">
        <v>884.64</v>
      </c>
      <c r="X29" s="166">
        <v>840</v>
      </c>
      <c r="Y29" s="166">
        <v>937</v>
      </c>
      <c r="Z29" s="166">
        <v>891</v>
      </c>
      <c r="AA29" s="167">
        <f t="shared" si="4"/>
        <v>-4.90928495197439</v>
      </c>
      <c r="AB29" s="167">
        <f t="shared" si="1"/>
        <v>-46.64670658682635</v>
      </c>
      <c r="AC29" s="203" t="s">
        <v>93</v>
      </c>
      <c r="AE29" s="212">
        <f>HLOOKUP($B29,'International comparisons-2011'!$M$7:$AM$12,5,FALSE)</f>
        <v>10.54184</v>
      </c>
    </row>
    <row r="30" spans="1:31" ht="12.75">
      <c r="A30" s="120"/>
      <c r="B30" s="154" t="s">
        <v>103</v>
      </c>
      <c r="C30" s="170"/>
      <c r="D30" s="171"/>
      <c r="E30" s="172">
        <v>3782</v>
      </c>
      <c r="F30" s="173">
        <v>3078</v>
      </c>
      <c r="G30" s="173">
        <v>2816</v>
      </c>
      <c r="H30" s="173">
        <v>2826</v>
      </c>
      <c r="I30" s="173">
        <v>2877</v>
      </c>
      <c r="J30" s="173">
        <v>2845</v>
      </c>
      <c r="K30" s="177">
        <v>2845</v>
      </c>
      <c r="L30" s="177">
        <v>2863</v>
      </c>
      <c r="M30" s="177">
        <v>2778</v>
      </c>
      <c r="N30" s="177">
        <v>2505</v>
      </c>
      <c r="O30" s="177">
        <v>2466</v>
      </c>
      <c r="P30" s="177">
        <v>2450</v>
      </c>
      <c r="Q30" s="177">
        <v>2411</v>
      </c>
      <c r="R30" s="177">
        <v>2229</v>
      </c>
      <c r="S30" s="177">
        <v>2442</v>
      </c>
      <c r="T30" s="173">
        <v>2629</v>
      </c>
      <c r="U30" s="174">
        <v>2587</v>
      </c>
      <c r="V30" s="174">
        <v>2800</v>
      </c>
      <c r="W30" s="174">
        <v>3061</v>
      </c>
      <c r="X30" s="174">
        <v>2796</v>
      </c>
      <c r="Y30" s="174">
        <v>2377</v>
      </c>
      <c r="Z30" s="174">
        <v>2018</v>
      </c>
      <c r="AA30" s="175">
        <f t="shared" si="4"/>
        <v>-15.103071098022713</v>
      </c>
      <c r="AB30" s="175">
        <f t="shared" si="1"/>
        <v>-17.63265306122449</v>
      </c>
      <c r="AC30" s="101" t="s">
        <v>103</v>
      </c>
      <c r="AE30" s="212">
        <f>HLOOKUP($B30,'International comparisons-2011'!$M$7:$AM$12,5,FALSE)</f>
        <v>21.355849</v>
      </c>
    </row>
    <row r="31" spans="1:31" ht="12.75">
      <c r="A31" s="120"/>
      <c r="B31" s="154" t="s">
        <v>89</v>
      </c>
      <c r="C31" s="172">
        <v>1307</v>
      </c>
      <c r="D31" s="176">
        <v>848</v>
      </c>
      <c r="E31" s="172">
        <v>772</v>
      </c>
      <c r="F31" s="173">
        <v>745</v>
      </c>
      <c r="G31" s="173">
        <v>759</v>
      </c>
      <c r="H31" s="173">
        <v>632</v>
      </c>
      <c r="I31" s="173">
        <v>589</v>
      </c>
      <c r="J31" s="173">
        <v>572</v>
      </c>
      <c r="K31" s="177">
        <v>537</v>
      </c>
      <c r="L31" s="177">
        <v>541</v>
      </c>
      <c r="M31" s="177">
        <v>531</v>
      </c>
      <c r="N31" s="177">
        <v>580</v>
      </c>
      <c r="O31" s="177">
        <v>591</v>
      </c>
      <c r="P31" s="177">
        <v>583</v>
      </c>
      <c r="Q31" s="177">
        <v>560</v>
      </c>
      <c r="R31" s="177">
        <v>529</v>
      </c>
      <c r="S31" s="177">
        <v>480</v>
      </c>
      <c r="T31" s="173">
        <v>440</v>
      </c>
      <c r="U31" s="178">
        <v>445</v>
      </c>
      <c r="V31" s="178">
        <v>471</v>
      </c>
      <c r="W31" s="178">
        <v>397</v>
      </c>
      <c r="X31" s="178">
        <v>358</v>
      </c>
      <c r="Y31" s="178">
        <v>266</v>
      </c>
      <c r="Z31" s="178">
        <v>319</v>
      </c>
      <c r="AA31" s="175">
        <f t="shared" si="4"/>
        <v>19.924812030075188</v>
      </c>
      <c r="AB31" s="175">
        <f t="shared" si="1"/>
        <v>-45.28301886792453</v>
      </c>
      <c r="AC31" s="203" t="s">
        <v>89</v>
      </c>
      <c r="AE31" s="212">
        <f>HLOOKUP($B31,'International comparisons-2011'!$M$7:$AM$12,5,FALSE)</f>
        <v>9.482855</v>
      </c>
    </row>
    <row r="32" spans="1:31" ht="12.75">
      <c r="A32" s="120"/>
      <c r="B32" s="107" t="s">
        <v>84</v>
      </c>
      <c r="C32" s="168" t="s">
        <v>100</v>
      </c>
      <c r="D32" s="169" t="s">
        <v>100</v>
      </c>
      <c r="E32" s="168">
        <v>517</v>
      </c>
      <c r="F32" s="108">
        <v>462</v>
      </c>
      <c r="G32" s="108">
        <v>493</v>
      </c>
      <c r="H32" s="108">
        <v>493</v>
      </c>
      <c r="I32" s="108">
        <v>505</v>
      </c>
      <c r="J32" s="108">
        <v>415</v>
      </c>
      <c r="K32" s="108">
        <v>389</v>
      </c>
      <c r="L32" s="108">
        <v>357</v>
      </c>
      <c r="M32" s="108">
        <v>309</v>
      </c>
      <c r="N32" s="108">
        <v>334</v>
      </c>
      <c r="O32" s="108">
        <v>314</v>
      </c>
      <c r="P32" s="108">
        <v>278</v>
      </c>
      <c r="Q32" s="108">
        <v>269</v>
      </c>
      <c r="R32" s="108">
        <v>242</v>
      </c>
      <c r="S32" s="108">
        <v>274</v>
      </c>
      <c r="T32" s="108">
        <v>258</v>
      </c>
      <c r="U32" s="166">
        <v>262</v>
      </c>
      <c r="V32" s="166">
        <v>293</v>
      </c>
      <c r="W32" s="166">
        <v>214</v>
      </c>
      <c r="X32" s="166">
        <v>171</v>
      </c>
      <c r="Y32" s="166">
        <v>138</v>
      </c>
      <c r="Z32" s="166">
        <v>141</v>
      </c>
      <c r="AA32" s="167">
        <f t="shared" si="4"/>
        <v>2.1739130434782705</v>
      </c>
      <c r="AB32" s="167">
        <f t="shared" si="1"/>
        <v>-49.280575539568346</v>
      </c>
      <c r="AC32" s="101" t="s">
        <v>84</v>
      </c>
      <c r="AD32" s="214"/>
      <c r="AE32" s="212">
        <f>HLOOKUP($B32,'International comparisons-2011'!$M$7:$AM$12,5,FALSE)</f>
        <v>2.055496</v>
      </c>
    </row>
    <row r="33" spans="1:31" ht="12.75">
      <c r="A33" s="120"/>
      <c r="B33" s="154" t="s">
        <v>86</v>
      </c>
      <c r="C33" s="182"/>
      <c r="D33" s="183"/>
      <c r="E33" s="182">
        <v>731</v>
      </c>
      <c r="F33" s="173">
        <v>614</v>
      </c>
      <c r="G33" s="173">
        <v>677</v>
      </c>
      <c r="H33" s="173">
        <v>584</v>
      </c>
      <c r="I33" s="173">
        <v>633</v>
      </c>
      <c r="J33" s="173">
        <v>660</v>
      </c>
      <c r="K33" s="177">
        <v>616</v>
      </c>
      <c r="L33" s="177">
        <v>788</v>
      </c>
      <c r="M33" s="177">
        <v>819</v>
      </c>
      <c r="N33" s="177">
        <v>647</v>
      </c>
      <c r="O33" s="177">
        <v>628</v>
      </c>
      <c r="P33" s="177">
        <v>614</v>
      </c>
      <c r="Q33" s="177">
        <v>610</v>
      </c>
      <c r="R33" s="177">
        <v>645</v>
      </c>
      <c r="S33" s="177">
        <v>603</v>
      </c>
      <c r="T33" s="173">
        <v>606</v>
      </c>
      <c r="U33" s="178">
        <v>614</v>
      </c>
      <c r="V33" s="178">
        <v>667</v>
      </c>
      <c r="W33" s="178">
        <v>622</v>
      </c>
      <c r="X33" s="178">
        <v>380</v>
      </c>
      <c r="Y33" s="178">
        <v>371</v>
      </c>
      <c r="Z33" s="178">
        <v>324</v>
      </c>
      <c r="AA33" s="175">
        <f t="shared" si="4"/>
        <v>-12.668463611859837</v>
      </c>
      <c r="AB33" s="175">
        <f t="shared" si="1"/>
        <v>-47.23127035830619</v>
      </c>
      <c r="AC33" s="101" t="s">
        <v>86</v>
      </c>
      <c r="AD33" s="214"/>
      <c r="AE33" s="212">
        <f>HLOOKUP($B33,'International comparisons-2011'!$M$7:$AM$12,5,FALSE)</f>
        <v>5.404322</v>
      </c>
    </row>
    <row r="34" spans="1:31" ht="12.75">
      <c r="A34" s="120"/>
      <c r="B34" s="107" t="s">
        <v>13</v>
      </c>
      <c r="C34" s="168">
        <v>7770</v>
      </c>
      <c r="D34" s="169">
        <v>6240</v>
      </c>
      <c r="E34" s="168">
        <v>5402</v>
      </c>
      <c r="F34" s="108">
        <v>4753</v>
      </c>
      <c r="G34" s="108">
        <v>4379</v>
      </c>
      <c r="H34" s="108">
        <v>3957</v>
      </c>
      <c r="I34" s="108">
        <v>3807</v>
      </c>
      <c r="J34" s="108">
        <v>3765</v>
      </c>
      <c r="K34" s="181">
        <v>3740</v>
      </c>
      <c r="L34" s="181">
        <v>3743</v>
      </c>
      <c r="M34" s="181">
        <v>3581</v>
      </c>
      <c r="N34" s="181">
        <v>3564</v>
      </c>
      <c r="O34" s="181">
        <v>3580</v>
      </c>
      <c r="P34" s="181">
        <v>3598</v>
      </c>
      <c r="Q34" s="181">
        <v>3581</v>
      </c>
      <c r="R34" s="181">
        <v>3658</v>
      </c>
      <c r="S34" s="181">
        <v>3368</v>
      </c>
      <c r="T34" s="108">
        <v>3336</v>
      </c>
      <c r="U34" s="166">
        <v>3298</v>
      </c>
      <c r="V34" s="184">
        <v>3059</v>
      </c>
      <c r="W34" s="184">
        <v>2645</v>
      </c>
      <c r="X34" s="184">
        <v>2337</v>
      </c>
      <c r="Y34" s="184">
        <v>1905</v>
      </c>
      <c r="Z34" s="184">
        <v>1960</v>
      </c>
      <c r="AA34" s="185">
        <f t="shared" si="4"/>
        <v>2.8871391076115582</v>
      </c>
      <c r="AB34" s="185">
        <f t="shared" si="1"/>
        <v>-45.525291828793776</v>
      </c>
      <c r="AC34" s="203" t="s">
        <v>13</v>
      </c>
      <c r="AD34" s="214"/>
      <c r="AE34" s="212">
        <f>HLOOKUP($B34,'International comparisons-2011'!$M$7:$AM$12,5,FALSE)</f>
        <v>62.98955</v>
      </c>
    </row>
    <row r="35" spans="1:33" ht="12.75">
      <c r="A35" s="120"/>
      <c r="B35" s="148" t="s">
        <v>164</v>
      </c>
      <c r="C35" s="186"/>
      <c r="D35" s="187"/>
      <c r="E35" s="188">
        <v>1360</v>
      </c>
      <c r="F35" s="189"/>
      <c r="G35" s="189"/>
      <c r="H35" s="189"/>
      <c r="I35" s="189"/>
      <c r="J35" s="189">
        <v>800</v>
      </c>
      <c r="K35" s="189"/>
      <c r="L35" s="189"/>
      <c r="M35" s="189"/>
      <c r="N35" s="189">
        <v>662</v>
      </c>
      <c r="O35" s="189">
        <v>655</v>
      </c>
      <c r="P35" s="189">
        <v>647</v>
      </c>
      <c r="Q35" s="189">
        <v>627</v>
      </c>
      <c r="R35" s="189">
        <v>701</v>
      </c>
      <c r="S35" s="189">
        <v>608</v>
      </c>
      <c r="T35" s="189">
        <v>597</v>
      </c>
      <c r="U35" s="190">
        <v>614</v>
      </c>
      <c r="V35" s="174">
        <v>619</v>
      </c>
      <c r="W35" s="174">
        <v>664</v>
      </c>
      <c r="X35" s="174">
        <v>548</v>
      </c>
      <c r="Y35" s="174">
        <v>426</v>
      </c>
      <c r="Z35" s="174">
        <v>418</v>
      </c>
      <c r="AA35" s="175">
        <f t="shared" si="4"/>
        <v>-1.8779342723004744</v>
      </c>
      <c r="AB35" s="175">
        <f t="shared" si="1"/>
        <v>-35.39412673879444</v>
      </c>
      <c r="AC35" s="148" t="s">
        <v>164</v>
      </c>
      <c r="AE35" s="112" t="s">
        <v>161</v>
      </c>
      <c r="AF35" s="211">
        <f>SUM(AE8:AE34)</f>
        <v>501.742586</v>
      </c>
      <c r="AG35" s="204">
        <f>SUM(Z8:Z34)</f>
        <v>30268</v>
      </c>
    </row>
    <row r="36" spans="1:37" ht="12.75">
      <c r="A36" s="120"/>
      <c r="B36" s="107" t="s">
        <v>165</v>
      </c>
      <c r="C36" s="191"/>
      <c r="D36" s="192"/>
      <c r="E36" s="168"/>
      <c r="F36" s="108"/>
      <c r="G36" s="108"/>
      <c r="H36" s="108"/>
      <c r="I36" s="108"/>
      <c r="J36" s="108"/>
      <c r="K36" s="108"/>
      <c r="L36" s="108"/>
      <c r="M36" s="108"/>
      <c r="N36" s="108"/>
      <c r="O36" s="108">
        <v>162</v>
      </c>
      <c r="P36" s="108">
        <v>107</v>
      </c>
      <c r="Q36" s="108">
        <v>176</v>
      </c>
      <c r="R36" s="108">
        <v>118</v>
      </c>
      <c r="S36" s="108">
        <v>155</v>
      </c>
      <c r="T36" s="108">
        <v>143</v>
      </c>
      <c r="U36" s="193">
        <v>140</v>
      </c>
      <c r="V36" s="193">
        <v>173</v>
      </c>
      <c r="W36" s="193">
        <v>162</v>
      </c>
      <c r="X36" s="193">
        <v>160</v>
      </c>
      <c r="Y36" s="193">
        <v>162</v>
      </c>
      <c r="Z36" s="193">
        <v>172</v>
      </c>
      <c r="AA36" s="167">
        <f t="shared" si="4"/>
        <v>6.172839506172845</v>
      </c>
      <c r="AB36" s="167">
        <f t="shared" si="1"/>
        <v>60.747663551401864</v>
      </c>
      <c r="AC36" s="107" t="s">
        <v>165</v>
      </c>
      <c r="AE36" s="112" t="s">
        <v>162</v>
      </c>
      <c r="AF36" s="213">
        <f>AE8+AE9+AE13+AE14+AE16+AE17+AE18+AE19+AE21+AE22+AE24+AE27+AE29+AE31+AE34</f>
        <v>398.93076800000006</v>
      </c>
      <c r="AG36" s="204">
        <f>Z8+Z9+Z13+Z14+Z16+Z17+Z18+Z19+Z21+Z22+Z24+Z27+Z29+Z31+Z34</f>
        <v>20861</v>
      </c>
      <c r="AH36" s="204"/>
      <c r="AI36" s="204"/>
      <c r="AJ36" s="204"/>
      <c r="AK36" s="204"/>
    </row>
    <row r="37" spans="1:31" ht="12.75">
      <c r="A37" s="120"/>
      <c r="B37" s="154" t="s">
        <v>166</v>
      </c>
      <c r="C37" s="172">
        <v>3978</v>
      </c>
      <c r="D37" s="176">
        <v>4100</v>
      </c>
      <c r="E37" s="172">
        <v>6317</v>
      </c>
      <c r="F37" s="173">
        <v>6231</v>
      </c>
      <c r="G37" s="173">
        <v>6214</v>
      </c>
      <c r="H37" s="173">
        <v>6457</v>
      </c>
      <c r="I37" s="173">
        <v>5942</v>
      </c>
      <c r="J37" s="173">
        <v>6004</v>
      </c>
      <c r="K37" s="173">
        <v>5428</v>
      </c>
      <c r="L37" s="173">
        <v>5125</v>
      </c>
      <c r="M37" s="173">
        <v>6083</v>
      </c>
      <c r="N37" s="173">
        <v>5713</v>
      </c>
      <c r="O37" s="173">
        <v>5510</v>
      </c>
      <c r="P37" s="177">
        <v>4386</v>
      </c>
      <c r="Q37" s="177">
        <v>4093</v>
      </c>
      <c r="R37" s="177">
        <v>3946</v>
      </c>
      <c r="S37" s="177">
        <v>4427</v>
      </c>
      <c r="T37" s="173">
        <v>4505</v>
      </c>
      <c r="U37" s="174">
        <v>4633</v>
      </c>
      <c r="V37" s="194">
        <v>5007</v>
      </c>
      <c r="W37" s="194">
        <v>4236</v>
      </c>
      <c r="X37" s="194">
        <v>4324</v>
      </c>
      <c r="Y37" s="194">
        <v>4045</v>
      </c>
      <c r="Z37" s="194">
        <v>3835</v>
      </c>
      <c r="AA37" s="195">
        <f t="shared" si="4"/>
        <v>-5.191594561186652</v>
      </c>
      <c r="AB37" s="195">
        <f t="shared" si="1"/>
        <v>-12.562699498404017</v>
      </c>
      <c r="AC37" s="154" t="s">
        <v>166</v>
      </c>
      <c r="AE37" t="s">
        <v>189</v>
      </c>
    </row>
    <row r="38" spans="1:31" ht="12.75">
      <c r="A38" s="120"/>
      <c r="B38" s="110" t="s">
        <v>167</v>
      </c>
      <c r="C38" s="196"/>
      <c r="D38" s="197"/>
      <c r="E38" s="162">
        <v>24</v>
      </c>
      <c r="F38" s="164">
        <v>27</v>
      </c>
      <c r="G38" s="164">
        <v>21</v>
      </c>
      <c r="H38" s="164">
        <v>17</v>
      </c>
      <c r="I38" s="164">
        <v>12</v>
      </c>
      <c r="J38" s="164">
        <v>24</v>
      </c>
      <c r="K38" s="164">
        <v>10</v>
      </c>
      <c r="L38" s="164">
        <v>15</v>
      </c>
      <c r="M38" s="164">
        <v>27</v>
      </c>
      <c r="N38" s="164">
        <v>21</v>
      </c>
      <c r="O38" s="164">
        <v>32</v>
      </c>
      <c r="P38" s="164">
        <v>24</v>
      </c>
      <c r="Q38" s="164">
        <v>29</v>
      </c>
      <c r="R38" s="164">
        <v>23</v>
      </c>
      <c r="S38" s="164">
        <v>23</v>
      </c>
      <c r="T38" s="164">
        <v>19</v>
      </c>
      <c r="U38" s="198">
        <v>31</v>
      </c>
      <c r="V38" s="198">
        <v>15</v>
      </c>
      <c r="W38" s="198">
        <v>12</v>
      </c>
      <c r="X38" s="193">
        <v>17</v>
      </c>
      <c r="Y38" s="193">
        <v>8</v>
      </c>
      <c r="Z38" s="193">
        <v>12</v>
      </c>
      <c r="AA38" s="167">
        <f t="shared" si="4"/>
        <v>50</v>
      </c>
      <c r="AB38" s="167">
        <f t="shared" si="1"/>
        <v>-50</v>
      </c>
      <c r="AC38" s="110" t="s">
        <v>167</v>
      </c>
      <c r="AE38" t="s">
        <v>190</v>
      </c>
    </row>
    <row r="39" spans="1:29" ht="12.75">
      <c r="A39" s="120"/>
      <c r="B39" s="154" t="s">
        <v>168</v>
      </c>
      <c r="C39" s="170"/>
      <c r="D39" s="171"/>
      <c r="E39" s="172">
        <v>332</v>
      </c>
      <c r="F39" s="173"/>
      <c r="G39" s="155"/>
      <c r="H39" s="173"/>
      <c r="I39" s="173"/>
      <c r="J39" s="173">
        <v>305</v>
      </c>
      <c r="K39" s="173">
        <v>255</v>
      </c>
      <c r="L39" s="173">
        <v>303</v>
      </c>
      <c r="M39" s="173">
        <v>352</v>
      </c>
      <c r="N39" s="173">
        <v>304</v>
      </c>
      <c r="O39" s="173">
        <v>341</v>
      </c>
      <c r="P39" s="173">
        <v>275</v>
      </c>
      <c r="Q39" s="173">
        <v>310</v>
      </c>
      <c r="R39" s="173">
        <v>280</v>
      </c>
      <c r="S39" s="173">
        <v>257</v>
      </c>
      <c r="T39" s="173">
        <v>224</v>
      </c>
      <c r="U39" s="174">
        <v>242</v>
      </c>
      <c r="V39" s="174">
        <v>233</v>
      </c>
      <c r="W39" s="174">
        <v>260</v>
      </c>
      <c r="X39" s="174">
        <v>214</v>
      </c>
      <c r="Y39" s="174">
        <v>208</v>
      </c>
      <c r="Z39" s="174">
        <v>168</v>
      </c>
      <c r="AA39" s="175">
        <f t="shared" si="4"/>
        <v>-19.23076923076923</v>
      </c>
      <c r="AB39" s="175">
        <f t="shared" si="1"/>
        <v>-38.90909090909091</v>
      </c>
      <c r="AC39" s="154" t="s">
        <v>168</v>
      </c>
    </row>
    <row r="40" spans="1:29" ht="12.75">
      <c r="A40" s="120"/>
      <c r="B40" s="109" t="s">
        <v>169</v>
      </c>
      <c r="C40" s="199">
        <v>1694</v>
      </c>
      <c r="D40" s="200">
        <v>1246</v>
      </c>
      <c r="E40" s="199">
        <v>954</v>
      </c>
      <c r="F40" s="201">
        <v>860</v>
      </c>
      <c r="G40" s="201">
        <v>834</v>
      </c>
      <c r="H40" s="201">
        <v>723</v>
      </c>
      <c r="I40" s="201">
        <v>679</v>
      </c>
      <c r="J40" s="201">
        <v>692</v>
      </c>
      <c r="K40" s="201">
        <v>616</v>
      </c>
      <c r="L40" s="201">
        <v>587</v>
      </c>
      <c r="M40" s="201">
        <v>597</v>
      </c>
      <c r="N40" s="201">
        <v>583</v>
      </c>
      <c r="O40" s="201">
        <v>592</v>
      </c>
      <c r="P40" s="201">
        <v>544</v>
      </c>
      <c r="Q40" s="201">
        <v>513</v>
      </c>
      <c r="R40" s="201">
        <v>546</v>
      </c>
      <c r="S40" s="201">
        <v>510</v>
      </c>
      <c r="T40" s="201">
        <v>409</v>
      </c>
      <c r="U40" s="202">
        <v>370</v>
      </c>
      <c r="V40" s="202">
        <v>384</v>
      </c>
      <c r="W40" s="202">
        <v>357</v>
      </c>
      <c r="X40" s="202">
        <v>349</v>
      </c>
      <c r="Y40" s="202">
        <v>328</v>
      </c>
      <c r="Z40" s="202">
        <v>320</v>
      </c>
      <c r="AA40" s="185">
        <f t="shared" si="4"/>
        <v>-2.4390243902439046</v>
      </c>
      <c r="AB40" s="185">
        <f t="shared" si="1"/>
        <v>-41.17647058823529</v>
      </c>
      <c r="AC40" s="109" t="s">
        <v>169</v>
      </c>
    </row>
    <row r="41" spans="2:29" ht="24.75" customHeight="1">
      <c r="B41" s="1130" t="s">
        <v>187</v>
      </c>
      <c r="C41" s="1130"/>
      <c r="D41" s="1130"/>
      <c r="E41" s="1130"/>
      <c r="F41" s="1130"/>
      <c r="G41" s="1130"/>
      <c r="H41" s="1130"/>
      <c r="I41" s="1130"/>
      <c r="J41" s="1130"/>
      <c r="K41" s="1130"/>
      <c r="L41" s="1130"/>
      <c r="M41" s="1132"/>
      <c r="N41" s="1132"/>
      <c r="O41" s="1132"/>
      <c r="P41" s="1132"/>
      <c r="Q41" s="1132"/>
      <c r="R41" s="1132"/>
      <c r="S41" s="1132"/>
      <c r="T41" s="1132"/>
      <c r="U41" s="1132"/>
      <c r="V41" s="1132"/>
      <c r="W41" s="1132"/>
      <c r="X41" s="1132"/>
      <c r="Y41" s="1132"/>
      <c r="Z41" s="1132"/>
      <c r="AA41" s="1132"/>
      <c r="AB41" s="1132"/>
      <c r="AC41" s="1132"/>
    </row>
    <row r="42" spans="2:29" ht="24" customHeight="1">
      <c r="B42" s="1130" t="s">
        <v>188</v>
      </c>
      <c r="C42" s="1130"/>
      <c r="D42" s="1130"/>
      <c r="E42" s="1130"/>
      <c r="F42" s="1130"/>
      <c r="G42" s="1130"/>
      <c r="H42" s="1130"/>
      <c r="I42" s="1132"/>
      <c r="J42" s="1132"/>
      <c r="K42" s="1132"/>
      <c r="L42" s="1132"/>
      <c r="M42" s="1132"/>
      <c r="N42" s="1132"/>
      <c r="O42" s="1132"/>
      <c r="P42" s="1132"/>
      <c r="Q42" s="1132"/>
      <c r="R42" s="1132"/>
      <c r="S42" s="1132"/>
      <c r="T42" s="1132"/>
      <c r="U42" s="1132"/>
      <c r="V42" s="1132"/>
      <c r="W42" s="1132"/>
      <c r="X42" s="1132"/>
      <c r="Y42" s="1132"/>
      <c r="Z42" s="1132"/>
      <c r="AA42" s="1132"/>
      <c r="AB42" s="1132"/>
      <c r="AC42" s="1132"/>
    </row>
    <row r="43" ht="23.25" customHeight="1">
      <c r="B43" s="135"/>
    </row>
  </sheetData>
  <sheetProtection/>
  <mergeCells count="3">
    <mergeCell ref="B2:AC2"/>
    <mergeCell ref="B41:AC41"/>
    <mergeCell ref="B42:AC4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T51"/>
  <sheetViews>
    <sheetView zoomScale="70" zoomScaleNormal="70" zoomScalePageLayoutView="0" workbookViewId="0" topLeftCell="BA1">
      <selection activeCell="BT37" sqref="BT37"/>
    </sheetView>
  </sheetViews>
  <sheetFormatPr defaultColWidth="9.140625" defaultRowHeight="12.75"/>
  <cols>
    <col min="9" max="9" width="9.57421875" style="0" bestFit="1" customWidth="1"/>
    <col min="12" max="12" width="10.28125" style="0" bestFit="1" customWidth="1"/>
    <col min="18" max="18" width="9.57421875" style="0" bestFit="1" customWidth="1"/>
    <col min="50" max="50" width="9.57421875" style="0" bestFit="1" customWidth="1"/>
    <col min="54" max="54" width="10.28125" style="0" bestFit="1" customWidth="1"/>
    <col min="85" max="85" width="12.421875" style="0" customWidth="1"/>
    <col min="98" max="98" width="9.140625" style="35" customWidth="1"/>
  </cols>
  <sheetData>
    <row r="1" spans="3:97" ht="15">
      <c r="C1" t="s">
        <v>0</v>
      </c>
      <c r="F1" t="s">
        <v>18</v>
      </c>
      <c r="I1" t="s">
        <v>19</v>
      </c>
      <c r="L1" t="s">
        <v>21</v>
      </c>
      <c r="O1" t="s">
        <v>48</v>
      </c>
      <c r="R1" t="s">
        <v>52</v>
      </c>
      <c r="V1" t="s">
        <v>48</v>
      </c>
      <c r="Z1" t="s">
        <v>21</v>
      </c>
      <c r="AC1" t="s">
        <v>48</v>
      </c>
      <c r="AF1" t="s">
        <v>0</v>
      </c>
      <c r="AI1" t="s">
        <v>40</v>
      </c>
      <c r="AL1" t="s">
        <v>25</v>
      </c>
      <c r="AO1" t="s">
        <v>25</v>
      </c>
      <c r="AR1" t="s">
        <v>40</v>
      </c>
      <c r="AU1" t="s">
        <v>25</v>
      </c>
      <c r="AX1" t="s">
        <v>40</v>
      </c>
      <c r="BB1" t="s">
        <v>23</v>
      </c>
      <c r="BD1" t="s">
        <v>30</v>
      </c>
      <c r="BH1" t="s">
        <v>33</v>
      </c>
      <c r="BK1" t="s">
        <v>47</v>
      </c>
      <c r="BN1" t="s">
        <v>53</v>
      </c>
      <c r="BP1" t="s">
        <v>34</v>
      </c>
      <c r="BQ1" t="s">
        <v>35</v>
      </c>
      <c r="BT1" s="14" t="s">
        <v>23</v>
      </c>
      <c r="BU1" s="14" t="s">
        <v>31</v>
      </c>
      <c r="BV1" s="14" t="s">
        <v>53</v>
      </c>
      <c r="BW1" s="14" t="s">
        <v>47</v>
      </c>
      <c r="BY1" s="14" t="s">
        <v>32</v>
      </c>
      <c r="CB1" s="112" t="s">
        <v>341</v>
      </c>
      <c r="CE1" s="112" t="s">
        <v>339</v>
      </c>
      <c r="CK1" s="112" t="s">
        <v>42</v>
      </c>
      <c r="CL1" s="112" t="s">
        <v>43</v>
      </c>
      <c r="CM1" s="112" t="s">
        <v>340</v>
      </c>
      <c r="CN1" s="112" t="s">
        <v>45</v>
      </c>
      <c r="CO1" s="112" t="s">
        <v>32</v>
      </c>
      <c r="CP1" s="112" t="s">
        <v>42</v>
      </c>
      <c r="CQ1" s="112" t="s">
        <v>43</v>
      </c>
      <c r="CR1" s="112" t="s">
        <v>340</v>
      </c>
      <c r="CS1" s="112" t="s">
        <v>45</v>
      </c>
    </row>
    <row r="2" spans="94:97" ht="12.75">
      <c r="CP2" s="112" t="s">
        <v>160</v>
      </c>
      <c r="CQ2" s="112" t="s">
        <v>160</v>
      </c>
      <c r="CR2" s="112" t="s">
        <v>160</v>
      </c>
      <c r="CS2" s="112" t="s">
        <v>160</v>
      </c>
    </row>
    <row r="3" spans="2:75" ht="12.75">
      <c r="B3" t="s">
        <v>123</v>
      </c>
      <c r="C3">
        <v>2012</v>
      </c>
      <c r="I3">
        <v>2012</v>
      </c>
      <c r="L3">
        <v>2010</v>
      </c>
      <c r="O3">
        <v>2010</v>
      </c>
      <c r="R3">
        <v>2010</v>
      </c>
      <c r="V3">
        <v>2009</v>
      </c>
      <c r="Z3">
        <v>2011</v>
      </c>
      <c r="AC3">
        <v>2011</v>
      </c>
      <c r="AF3">
        <v>2011</v>
      </c>
      <c r="AI3">
        <v>2011</v>
      </c>
      <c r="AL3">
        <v>2011</v>
      </c>
      <c r="AO3">
        <v>2011</v>
      </c>
      <c r="AR3">
        <v>2011</v>
      </c>
      <c r="AU3">
        <v>2011</v>
      </c>
      <c r="AX3">
        <v>2011</v>
      </c>
      <c r="BB3">
        <v>2011</v>
      </c>
      <c r="BD3">
        <v>2002</v>
      </c>
      <c r="BH3">
        <v>2010</v>
      </c>
      <c r="BK3">
        <v>2010</v>
      </c>
      <c r="BN3">
        <v>2010</v>
      </c>
      <c r="BP3">
        <v>2001</v>
      </c>
      <c r="BQ3">
        <v>2001</v>
      </c>
      <c r="BT3">
        <v>2011</v>
      </c>
      <c r="BU3">
        <v>2011</v>
      </c>
      <c r="BV3">
        <v>2011</v>
      </c>
      <c r="BW3">
        <v>2011</v>
      </c>
    </row>
    <row r="5" spans="2:44" ht="12.75">
      <c r="B5" t="s">
        <v>124</v>
      </c>
      <c r="R5" t="s">
        <v>120</v>
      </c>
      <c r="AL5" t="s">
        <v>107</v>
      </c>
      <c r="AO5" t="s">
        <v>100</v>
      </c>
      <c r="AR5" t="s">
        <v>100</v>
      </c>
    </row>
    <row r="7" spans="2:94" ht="12.75">
      <c r="B7" t="s">
        <v>60</v>
      </c>
      <c r="C7" t="s">
        <v>98</v>
      </c>
      <c r="F7" t="s">
        <v>98</v>
      </c>
      <c r="I7" t="s">
        <v>26</v>
      </c>
      <c r="L7" t="s">
        <v>134</v>
      </c>
      <c r="O7" t="s">
        <v>26</v>
      </c>
      <c r="R7" t="s">
        <v>135</v>
      </c>
      <c r="V7" t="s">
        <v>26</v>
      </c>
      <c r="Z7" t="s">
        <v>136</v>
      </c>
      <c r="AC7" t="s">
        <v>26</v>
      </c>
      <c r="AF7" t="s">
        <v>137</v>
      </c>
      <c r="AI7" t="s">
        <v>26</v>
      </c>
      <c r="AL7" t="s">
        <v>140</v>
      </c>
      <c r="AO7" t="s">
        <v>139</v>
      </c>
      <c r="AR7" t="s">
        <v>26</v>
      </c>
      <c r="AU7" t="s">
        <v>138</v>
      </c>
      <c r="AX7" t="s">
        <v>26</v>
      </c>
      <c r="BB7" t="s">
        <v>148</v>
      </c>
      <c r="BD7" t="s">
        <v>95</v>
      </c>
      <c r="BH7" t="s">
        <v>150</v>
      </c>
      <c r="BK7" t="s">
        <v>151</v>
      </c>
      <c r="BN7" t="s">
        <v>152</v>
      </c>
      <c r="BP7" t="s">
        <v>95</v>
      </c>
      <c r="BQ7" t="s">
        <v>95</v>
      </c>
      <c r="CK7" s="992" t="s">
        <v>305</v>
      </c>
      <c r="CL7" s="992" t="s">
        <v>316</v>
      </c>
      <c r="CM7" s="992" t="s">
        <v>324</v>
      </c>
      <c r="CN7" s="992" t="s">
        <v>332</v>
      </c>
      <c r="CO7" s="112" t="s">
        <v>26</v>
      </c>
      <c r="CP7" s="992"/>
    </row>
    <row r="9" spans="2:97" ht="12.75">
      <c r="B9" t="s">
        <v>157</v>
      </c>
      <c r="C9" s="95">
        <v>5.3136</v>
      </c>
      <c r="F9">
        <v>77.958</v>
      </c>
      <c r="I9" s="93">
        <f>C9/F9*1000</f>
        <v>68.15977834218425</v>
      </c>
      <c r="L9" s="35">
        <v>422</v>
      </c>
      <c r="O9">
        <v>5.220759896354448</v>
      </c>
      <c r="R9" s="93">
        <v>28.6</v>
      </c>
      <c r="V9" s="96">
        <f>R9/F9*1000</f>
        <v>366.8642089330152</v>
      </c>
      <c r="W9" s="96"/>
      <c r="Z9" s="98">
        <v>2763</v>
      </c>
      <c r="AC9" s="98">
        <v>35.44216116370353</v>
      </c>
      <c r="AF9" s="95">
        <v>2.26</v>
      </c>
      <c r="AI9" s="94">
        <f>AF9/C9*1000</f>
        <v>425.3236976814212</v>
      </c>
      <c r="AL9">
        <v>66</v>
      </c>
      <c r="AO9">
        <v>273</v>
      </c>
      <c r="AR9" s="94">
        <f>AO9/C9</f>
        <v>51.377597109304425</v>
      </c>
      <c r="AU9" s="94">
        <v>182.5</v>
      </c>
      <c r="AX9" s="94">
        <f>AU9/C9</f>
        <v>34.3458295694068</v>
      </c>
      <c r="BB9">
        <v>8586</v>
      </c>
      <c r="BD9">
        <v>55</v>
      </c>
      <c r="BH9">
        <v>780</v>
      </c>
      <c r="BK9">
        <v>0</v>
      </c>
      <c r="BN9">
        <v>586</v>
      </c>
      <c r="BP9">
        <v>56</v>
      </c>
      <c r="BQ9">
        <v>288</v>
      </c>
      <c r="BT9" s="93">
        <f>100*BB9/$BY$9</f>
        <v>86.27411575562701</v>
      </c>
      <c r="BU9" s="93">
        <f>100*BH9/$BY$9</f>
        <v>7.837620578778135</v>
      </c>
      <c r="BV9" s="93">
        <f>100*BN9/$BY$9</f>
        <v>5.888263665594855</v>
      </c>
      <c r="BW9" s="93">
        <f>100*BK9/$BY$9</f>
        <v>0</v>
      </c>
      <c r="BY9">
        <f>BB9+BH9+BK9+BN9</f>
        <v>9952</v>
      </c>
      <c r="CB9">
        <v>8.02</v>
      </c>
      <c r="CE9">
        <v>208</v>
      </c>
      <c r="CH9">
        <v>39.83148219073152</v>
      </c>
      <c r="CK9" s="270">
        <v>12.7</v>
      </c>
      <c r="CL9" s="270">
        <v>2</v>
      </c>
      <c r="CM9" s="270">
        <v>0.27</v>
      </c>
      <c r="CN9" s="270">
        <v>5.75</v>
      </c>
      <c r="CO9" s="270">
        <f>SUM(CK9:CN9)</f>
        <v>20.72</v>
      </c>
      <c r="CP9" s="993">
        <f>IF(CK9&lt;&gt;"-",100*CK9/$CO9,0)</f>
        <v>61.293436293436294</v>
      </c>
      <c r="CQ9" s="993">
        <f>IF(CL9&lt;&gt;"-",100*CL9/$CO9,0)</f>
        <v>9.652509652509654</v>
      </c>
      <c r="CR9" s="993">
        <f>IF(CM9&lt;&gt;"-",100*CM9/$CO9,0)</f>
        <v>1.3030888030888033</v>
      </c>
      <c r="CS9" s="993">
        <f>IF(CN9&lt;&gt;"-",100*CN9/$CO9,0)</f>
        <v>27.75096525096525</v>
      </c>
    </row>
    <row r="10" spans="9:97" ht="12.75">
      <c r="I10" s="93"/>
      <c r="V10" s="96"/>
      <c r="W10" s="96"/>
      <c r="CK10" s="270"/>
      <c r="CL10" s="270"/>
      <c r="CM10" s="270"/>
      <c r="CN10" s="270"/>
      <c r="CO10" s="270"/>
      <c r="CP10" s="431"/>
      <c r="CQ10" s="431"/>
      <c r="CR10" s="431"/>
      <c r="CS10" s="431"/>
    </row>
    <row r="11" spans="1:98" ht="12.75">
      <c r="A11" s="432" t="s">
        <v>82</v>
      </c>
      <c r="B11" t="s">
        <v>10</v>
      </c>
      <c r="C11" s="95">
        <f>VLOOKUP($A11,'Table 1.1'!$B$7:$K$42,4,FALSE)</f>
        <v>8.443018</v>
      </c>
      <c r="E11" t="s">
        <v>10</v>
      </c>
      <c r="F11" s="95">
        <f>VLOOKUP($A11,'Table 1.1'!$B$7:$K$42,2,FALSE)</f>
        <v>83.879</v>
      </c>
      <c r="H11" t="s">
        <v>10</v>
      </c>
      <c r="I11" s="93">
        <f>C11/F11*1000</f>
        <v>100.65711322261829</v>
      </c>
      <c r="K11" t="s">
        <v>10</v>
      </c>
      <c r="L11" s="96">
        <f>VLOOKUP($A11,'Table 2.5.1'!$B$6:$Y$41,24,FALSE)</f>
        <v>1719</v>
      </c>
      <c r="N11" t="s">
        <v>10</v>
      </c>
      <c r="O11" s="93">
        <f>L11/F11</f>
        <v>20.493806554679953</v>
      </c>
      <c r="Q11" s="98" t="s">
        <v>10</v>
      </c>
      <c r="R11" s="93">
        <f>VLOOKUP($A11,'Table 2.5.2'!$B$8:$I$42,7,FALSE)/1000</f>
        <v>35.841495</v>
      </c>
      <c r="S11" s="93">
        <f>VLOOKUP($A11,'Table 2.5.2'!$B$8:$I$42,8,FALSE)/1000</f>
        <v>124.50708300000001</v>
      </c>
      <c r="T11" s="93"/>
      <c r="U11" t="s">
        <v>10</v>
      </c>
      <c r="V11" s="96">
        <f>R11/$F11*1000</f>
        <v>427.2999797327102</v>
      </c>
      <c r="W11" s="96">
        <f>S11/$F11*1000</f>
        <v>1484.3653715471094</v>
      </c>
      <c r="Y11" t="s">
        <v>10</v>
      </c>
      <c r="Z11" s="94">
        <f>VLOOKUP($A11,'Table 2.5.3'!$B$6:$V$41,21,FALSE)</f>
        <v>5021</v>
      </c>
      <c r="AB11" t="s">
        <v>10</v>
      </c>
      <c r="AC11" s="93">
        <f>Z11/F11</f>
        <v>59.86003648112161</v>
      </c>
      <c r="AE11" t="s">
        <v>10</v>
      </c>
      <c r="AF11" s="95">
        <f>VLOOKUP($A11,'Table 2.6.2'!$A$7:$Y$43,25,FALSE)/1000</f>
        <v>4.513421</v>
      </c>
      <c r="AH11" t="s">
        <v>10</v>
      </c>
      <c r="AI11" s="94">
        <f>AF11/C11*1000</f>
        <v>534.5743666541988</v>
      </c>
      <c r="AK11" t="s">
        <v>10</v>
      </c>
      <c r="AL11" s="94">
        <f>VLOOKUP($A11,'Table 2.6.5'!$B$7:$S$43,18,FALSE)</f>
        <v>743.429</v>
      </c>
      <c r="AN11" t="s">
        <v>10</v>
      </c>
      <c r="AO11" s="94">
        <f>VLOOKUP($A11,'Table 2.6.4'!$B$7:$Z$43,25,FALSE)</f>
        <v>407.452</v>
      </c>
      <c r="AQ11" t="s">
        <v>10</v>
      </c>
      <c r="AR11" s="94">
        <f>AO11/C11</f>
        <v>48.25904670581065</v>
      </c>
      <c r="AT11" s="98" t="s">
        <v>10</v>
      </c>
      <c r="AU11" s="94">
        <f>VLOOKUP($A11,'Table 2.6.6'!$B$6:$Q$41,16,FALSE)</f>
        <v>336.01</v>
      </c>
      <c r="AW11" t="s">
        <v>10</v>
      </c>
      <c r="AX11" s="94">
        <f aca="true" t="shared" si="0" ref="AX11:AX37">AU11/C11</f>
        <v>39.79738051014459</v>
      </c>
      <c r="AZ11" t="s">
        <v>10</v>
      </c>
      <c r="BA11" s="433">
        <f>VLOOKUP($A11,'Table 2.3.4'!$B$6:$Z$41,25,FALSE)</f>
        <v>74.451</v>
      </c>
      <c r="BB11" s="431">
        <f>ROUND((1000*BA11)/$C11,0)</f>
        <v>8818</v>
      </c>
      <c r="BC11" t="s">
        <v>10</v>
      </c>
      <c r="BF11" t="s">
        <v>10</v>
      </c>
      <c r="BG11" s="433">
        <f>VLOOKUP(A11,'Table 2.3.5'!$B$6:$Z$41,25,FALSE)</f>
        <v>9.533</v>
      </c>
      <c r="BH11" s="270">
        <f>ROUND((1000*BG11/$C11),0)</f>
        <v>1129</v>
      </c>
      <c r="BI11" t="s">
        <v>10</v>
      </c>
      <c r="BJ11" s="433">
        <f>VLOOKUP($A11,'Table 2.3.6'!$B$6:$Z$41,25,FALSE)</f>
        <v>4.061</v>
      </c>
      <c r="BK11" s="439">
        <f aca="true" t="shared" si="1" ref="BK11:BK37">ROUND((1000*BJ11/$C11),0)</f>
        <v>481</v>
      </c>
      <c r="BL11" s="35" t="s">
        <v>10</v>
      </c>
      <c r="BM11" s="433">
        <f>VLOOKUP($A11,'Table 2.3.7'!$B$6:$Z$41,25,FALSE)</f>
        <v>10.876</v>
      </c>
      <c r="BN11" s="439">
        <f aca="true" t="shared" si="2" ref="BN11:BN37">ROUND((1000*BM11/$C11),0)</f>
        <v>1288</v>
      </c>
      <c r="BP11">
        <v>136</v>
      </c>
      <c r="BQ11">
        <v>419</v>
      </c>
      <c r="BS11" t="s">
        <v>10</v>
      </c>
      <c r="BT11" s="991">
        <f>VLOOKUP($A11,'Table 2.3.3'!$B$7:$F$42,2,FALSE)</f>
        <v>75.2630887273683</v>
      </c>
      <c r="BU11" s="991">
        <f>VLOOKUP($A11,'Table 2.3.3'!$B$7:$F$42,3,FALSE)</f>
        <v>9.63698304707797</v>
      </c>
      <c r="BV11" s="991">
        <f>VLOOKUP($A11,'Table 2.3.3'!$B$7:$F$42,4,FALSE)</f>
        <v>10.994632080144761</v>
      </c>
      <c r="BW11" s="991">
        <f>VLOOKUP($A11,'Table 2.3.3'!$B$7:$F$42,5,FALSE)</f>
        <v>4.105296145408963</v>
      </c>
      <c r="BY11" s="1009">
        <f>BB11+BH11+BK11+BN11</f>
        <v>11716</v>
      </c>
      <c r="CA11" t="s">
        <v>10</v>
      </c>
      <c r="CB11">
        <f>VLOOKUP($A11,'Table 2.4.1'!$A$7:$AE$37,31,FALSE)/1000</f>
        <v>17.370136000000002</v>
      </c>
      <c r="CD11" t="s">
        <v>10</v>
      </c>
      <c r="CE11">
        <v>552</v>
      </c>
      <c r="CG11" t="s">
        <v>10</v>
      </c>
      <c r="CH11" s="93">
        <v>28.251077736132807</v>
      </c>
      <c r="CJ11" t="s">
        <v>10</v>
      </c>
      <c r="CK11" s="270">
        <f>VLOOKUP($A11,'Table 2.2.4c'!$B$7:$S$42,18,FALSE)</f>
        <v>28.542</v>
      </c>
      <c r="CL11" s="270">
        <f>VLOOKUP($A11,'Table 2.2.5'!$A$6:$Y$41,25,FALSE)</f>
        <v>20.345</v>
      </c>
      <c r="CM11" s="270">
        <f>VLOOKUP($A11,'Table 2.2.6'!$B$6:$Z$41,25,FALSE)</f>
        <v>2.123</v>
      </c>
      <c r="CN11" s="270">
        <f>VLOOKUP($A11,'Table 2.2.7'!$B$6:$Z$41,25,FALSE)</f>
        <v>7.228</v>
      </c>
      <c r="CO11" s="270">
        <f aca="true" t="shared" si="3" ref="CO11:CO37">SUM(CK11:CN11)</f>
        <v>58.238</v>
      </c>
      <c r="CP11" s="431">
        <f aca="true" t="shared" si="4" ref="CP11:CP37">IF(CK11&lt;&gt;"-",100*CK11/$CO11,0)</f>
        <v>49.009237954600096</v>
      </c>
      <c r="CQ11" s="431">
        <f aca="true" t="shared" si="5" ref="CQ11:CQ37">IF(CL11&lt;&gt;"-",100*CL11/$CO11,0)</f>
        <v>34.93423537896219</v>
      </c>
      <c r="CR11" s="431">
        <f aca="true" t="shared" si="6" ref="CR11:CR37">IF(CM11&lt;&gt;"-",100*CM11/$CO11,0)</f>
        <v>3.645386173975755</v>
      </c>
      <c r="CS11" s="431">
        <f aca="true" t="shared" si="7" ref="CS11:CS37">IF(CN11&lt;&gt;"-",100*CN11/$CO11,0)</f>
        <v>12.411140492461966</v>
      </c>
      <c r="CT11" s="1010"/>
    </row>
    <row r="12" spans="1:98" ht="12.75">
      <c r="A12" s="432" t="s">
        <v>61</v>
      </c>
      <c r="B12" t="s">
        <v>1</v>
      </c>
      <c r="C12" s="95">
        <f>VLOOKUP($A12,'Table 1.1'!$B$7:$K$42,4,FALSE)</f>
        <v>11.041266</v>
      </c>
      <c r="E12" t="s">
        <v>1</v>
      </c>
      <c r="F12" s="95">
        <f>VLOOKUP($A12,'Table 1.1'!$B$7:$K$42,2,FALSE)</f>
        <v>30.528</v>
      </c>
      <c r="H12" t="s">
        <v>1</v>
      </c>
      <c r="I12" s="93">
        <f aca="true" t="shared" si="8" ref="I12:I37">C12/F12*1000</f>
        <v>361.6766902515723</v>
      </c>
      <c r="K12" t="s">
        <v>1</v>
      </c>
      <c r="L12" s="96">
        <f>VLOOKUP($A12,'Table 2.5.1'!$B$6:$Y$41,24,FALSE)</f>
        <v>1763</v>
      </c>
      <c r="N12" t="s">
        <v>1</v>
      </c>
      <c r="O12" s="93">
        <f aca="true" t="shared" si="9" ref="O12:O37">L12/F12</f>
        <v>57.75026205450734</v>
      </c>
      <c r="Q12" s="98" t="s">
        <v>1</v>
      </c>
      <c r="R12" s="93">
        <f>VLOOKUP($A12,'Table 2.5.2'!$B$8:$I$42,7,FALSE)/1000</f>
        <v>16.341</v>
      </c>
      <c r="S12" s="93">
        <f>VLOOKUP($A12,'Table 2.5.2'!$B$8:$I$42,8,FALSE)/1000</f>
        <v>155.21</v>
      </c>
      <c r="T12" s="93"/>
      <c r="U12" t="s">
        <v>1</v>
      </c>
      <c r="V12" s="96">
        <f aca="true" t="shared" si="10" ref="V12:V37">R12/$F12*1000</f>
        <v>535.2790880503145</v>
      </c>
      <c r="W12" s="96">
        <f aca="true" t="shared" si="11" ref="W12:W37">S12/$F12*1000</f>
        <v>5084.1850104821815</v>
      </c>
      <c r="Y12" t="s">
        <v>1</v>
      </c>
      <c r="Z12" s="94">
        <f>VLOOKUP($A12,'Table 2.5.3'!$B$6:$V$41,21,FALSE)</f>
        <v>3557.6666666666665</v>
      </c>
      <c r="AB12" t="s">
        <v>1</v>
      </c>
      <c r="AC12" s="93">
        <f aca="true" t="shared" si="12" ref="AC12:AC37">Z12/F12</f>
        <v>116.53782320055905</v>
      </c>
      <c r="AE12" t="s">
        <v>1</v>
      </c>
      <c r="AF12" s="95">
        <f>VLOOKUP($A12,'Table 2.6.2'!$A$7:$Y$43,25,FALSE)/1000</f>
        <v>5.407</v>
      </c>
      <c r="AH12" t="s">
        <v>1</v>
      </c>
      <c r="AI12" s="94">
        <f aca="true" t="shared" si="13" ref="AI12:AI37">AF12/C12*1000</f>
        <v>489.708335982486</v>
      </c>
      <c r="AK12" t="s">
        <v>1</v>
      </c>
      <c r="AL12" s="94">
        <f>VLOOKUP($A12,'Table 2.6.5'!$B$7:$S$43,18,FALSE)</f>
        <v>433.958</v>
      </c>
      <c r="AN12" t="s">
        <v>1</v>
      </c>
      <c r="AO12" s="94">
        <f>VLOOKUP($A12,'Table 2.6.4'!$B$7:$Z$43,25,FALSE)</f>
        <v>761.214</v>
      </c>
      <c r="AQ12" t="s">
        <v>1</v>
      </c>
      <c r="AR12" s="94">
        <f aca="true" t="shared" si="14" ref="AR12:AR37">AO12/C12</f>
        <v>68.94263755623676</v>
      </c>
      <c r="AT12" s="98" t="s">
        <v>1</v>
      </c>
      <c r="AU12" s="94">
        <f>VLOOKUP($A12,'Table 2.6.6'!$B$6:$Q$41,16,FALSE)</f>
        <v>487.377</v>
      </c>
      <c r="AW12" t="s">
        <v>1</v>
      </c>
      <c r="AX12" s="94">
        <f t="shared" si="0"/>
        <v>44.14140552360572</v>
      </c>
      <c r="AZ12" t="s">
        <v>1</v>
      </c>
      <c r="BA12" s="434">
        <f>VLOOKUP($A12,'Table 2.3.4'!$B$6:$Z$41,25,FALSE)</f>
        <v>114.24041160948988</v>
      </c>
      <c r="BB12" s="431">
        <f aca="true" t="shared" si="15" ref="BB12:BB41">ROUND((1000*BA12)/C12,0)</f>
        <v>10347</v>
      </c>
      <c r="BC12" t="s">
        <v>1</v>
      </c>
      <c r="BF12" t="s">
        <v>1</v>
      </c>
      <c r="BG12" s="434">
        <f>VLOOKUP(A12,'Table 2.3.5'!$B$6:$Z$41,25,FALSE)</f>
        <v>18.969919592400387</v>
      </c>
      <c r="BH12" s="270">
        <f aca="true" t="shared" si="16" ref="BH12:BH41">ROUND((1000*BG12/C12),0)</f>
        <v>1718</v>
      </c>
      <c r="BI12" t="s">
        <v>1</v>
      </c>
      <c r="BJ12" s="434">
        <f>VLOOKUP($A12,'Table 2.3.6'!$B$6:$Z$41,25,FALSE)</f>
        <v>1.1328401797175867</v>
      </c>
      <c r="BK12" s="439">
        <f t="shared" si="1"/>
        <v>103</v>
      </c>
      <c r="BL12" s="35" t="s">
        <v>1</v>
      </c>
      <c r="BM12" s="434">
        <f>VLOOKUP($A12,'Table 2.3.7'!$B$6:$Z$41,25,FALSE)</f>
        <v>10.411</v>
      </c>
      <c r="BN12" s="439">
        <f t="shared" si="2"/>
        <v>943</v>
      </c>
      <c r="BP12">
        <v>322</v>
      </c>
      <c r="BQ12">
        <v>380</v>
      </c>
      <c r="BS12" t="s">
        <v>1</v>
      </c>
      <c r="BT12" s="991">
        <f>VLOOKUP($A12,'Table 2.3.3'!$B$7:$F$42,2,FALSE)</f>
        <v>78.9202898397476</v>
      </c>
      <c r="BU12" s="991">
        <f>VLOOKUP($A12,'Table 2.3.3'!$B$7:$F$42,3,FALSE)</f>
        <v>13.104920853984222</v>
      </c>
      <c r="BV12" s="991">
        <f>VLOOKUP($A12,'Table 2.3.3'!$B$7:$F$42,4,FALSE)</f>
        <v>7.192193427403224</v>
      </c>
      <c r="BW12" s="991">
        <f>VLOOKUP($A12,'Table 2.3.3'!$B$7:$F$42,5,FALSE)</f>
        <v>0.7825958788649615</v>
      </c>
      <c r="BY12" s="1009">
        <f aca="true" t="shared" si="17" ref="BY12:BY41">BB12+BH12+BK12+BN12</f>
        <v>13111</v>
      </c>
      <c r="CA12" t="s">
        <v>1</v>
      </c>
      <c r="CB12">
        <f>VLOOKUP($A12,'Table 2.4.1'!$A$7:$AE$37,31,FALSE)/1000</f>
        <v>17.113287</v>
      </c>
      <c r="CD12" t="s">
        <v>1</v>
      </c>
      <c r="CE12">
        <v>812</v>
      </c>
      <c r="CG12" t="s">
        <v>1</v>
      </c>
      <c r="CH12" s="93">
        <v>30.51138571998918</v>
      </c>
      <c r="CJ12" t="s">
        <v>1</v>
      </c>
      <c r="CK12" s="270">
        <f>VLOOKUP($A12,'Table 2.2.4c'!$B$7:$S$42,18,FALSE)</f>
        <v>33.107</v>
      </c>
      <c r="CL12" s="270">
        <f>VLOOKUP($A12,'Table 2.2.5'!$A$6:$Y$41,25,FALSE)</f>
        <v>7.593</v>
      </c>
      <c r="CM12" s="270">
        <f>VLOOKUP($A12,'Table 2.2.6'!$B$6:$Z$41,25,FALSE)</f>
        <v>9.251</v>
      </c>
      <c r="CN12" s="270">
        <f>VLOOKUP($A12,'Table 2.2.7'!$B$6:$Z$41,25,FALSE)</f>
        <v>1.4646666666666668</v>
      </c>
      <c r="CO12" s="270">
        <f t="shared" si="3"/>
        <v>51.41566666666667</v>
      </c>
      <c r="CP12" s="431">
        <f t="shared" si="4"/>
        <v>64.39087956329783</v>
      </c>
      <c r="CQ12" s="431">
        <f t="shared" si="5"/>
        <v>14.767872308699681</v>
      </c>
      <c r="CR12" s="431">
        <f t="shared" si="6"/>
        <v>17.992570357932404</v>
      </c>
      <c r="CS12" s="431">
        <f t="shared" si="7"/>
        <v>2.8486777700700823</v>
      </c>
      <c r="CT12" s="1010"/>
    </row>
    <row r="13" spans="1:98" ht="12.75">
      <c r="A13" s="432" t="s">
        <v>102</v>
      </c>
      <c r="B13" t="s">
        <v>104</v>
      </c>
      <c r="C13" s="95">
        <f>VLOOKUP($A13,'Table 1.1'!$B$7:$K$42,4,FALSE)</f>
        <v>7.327224</v>
      </c>
      <c r="E13" t="s">
        <v>104</v>
      </c>
      <c r="F13" s="95">
        <f>VLOOKUP($A13,'Table 1.1'!$B$7:$K$42,2,FALSE)</f>
        <v>111.002</v>
      </c>
      <c r="H13" t="s">
        <v>104</v>
      </c>
      <c r="I13" s="93">
        <f t="shared" si="8"/>
        <v>66.0098376605827</v>
      </c>
      <c r="K13" t="s">
        <v>104</v>
      </c>
      <c r="L13" s="96">
        <f>VLOOKUP($A13,'Table 2.5.1'!$B$6:$Y$41,24,FALSE)</f>
        <v>437</v>
      </c>
      <c r="N13" t="s">
        <v>104</v>
      </c>
      <c r="O13" s="93">
        <f t="shared" si="9"/>
        <v>3.936866002414371</v>
      </c>
      <c r="Q13" t="s">
        <v>104</v>
      </c>
      <c r="R13" s="93">
        <f>VLOOKUP($A13,'Table 2.5.2'!$B$8:$I$42,7,FALSE)/1000</f>
        <v>7.437</v>
      </c>
      <c r="S13" s="93">
        <f>VLOOKUP($A13,'Table 2.5.2'!$B$8:$I$42,8,FALSE)/1000</f>
        <v>19.456</v>
      </c>
      <c r="T13" s="93"/>
      <c r="U13" t="s">
        <v>104</v>
      </c>
      <c r="V13" s="96">
        <f t="shared" si="10"/>
        <v>66.99879281454389</v>
      </c>
      <c r="W13" s="96">
        <f t="shared" si="11"/>
        <v>175.27612115097025</v>
      </c>
      <c r="Y13" t="s">
        <v>104</v>
      </c>
      <c r="Z13" s="94">
        <f>VLOOKUP($A13,'Table 2.5.3'!$B$6:$V$41,21,FALSE)</f>
        <v>3947</v>
      </c>
      <c r="AB13" t="s">
        <v>104</v>
      </c>
      <c r="AC13" s="93">
        <f t="shared" si="12"/>
        <v>35.557917875353596</v>
      </c>
      <c r="AE13" t="s">
        <v>104</v>
      </c>
      <c r="AF13" s="95">
        <f>VLOOKUP($A13,'Table 2.6.2'!$A$7:$Y$43,25,FALSE)/1000</f>
        <v>2.695</v>
      </c>
      <c r="AH13" t="s">
        <v>104</v>
      </c>
      <c r="AI13" s="94">
        <f t="shared" si="13"/>
        <v>367.80641618162616</v>
      </c>
      <c r="AK13" t="s">
        <v>104</v>
      </c>
      <c r="AL13" s="94">
        <f>VLOOKUP($A13,'Table 2.6.5'!$B$7:$S$43,18,FALSE)</f>
        <v>131.8</v>
      </c>
      <c r="AN13" t="s">
        <v>104</v>
      </c>
      <c r="AO13" s="94">
        <f>VLOOKUP($A13,'Table 2.6.4'!$B$7:$Z$43,25,FALSE)</f>
        <v>347.561</v>
      </c>
      <c r="AQ13" t="s">
        <v>104</v>
      </c>
      <c r="AR13" s="94">
        <f t="shared" si="14"/>
        <v>47.4341988179971</v>
      </c>
      <c r="AT13" t="s">
        <v>104</v>
      </c>
      <c r="AU13" s="94">
        <f>VLOOKUP($A13,'Table 2.6.6'!$B$6:$Q$41,16,FALSE)</f>
        <v>19.752</v>
      </c>
      <c r="AW13" t="s">
        <v>104</v>
      </c>
      <c r="AX13" s="94">
        <f t="shared" si="0"/>
        <v>2.695700308875503</v>
      </c>
      <c r="AZ13" t="s">
        <v>104</v>
      </c>
      <c r="BA13" s="434">
        <f>VLOOKUP($A13,'Table 2.3.4'!$B$6:$Z$41,25,FALSE)</f>
        <v>48.06803748938479</v>
      </c>
      <c r="BB13" s="431">
        <f t="shared" si="15"/>
        <v>6560</v>
      </c>
      <c r="BC13" t="s">
        <v>104</v>
      </c>
      <c r="BF13" t="s">
        <v>104</v>
      </c>
      <c r="BG13" s="434">
        <f>VLOOKUP(A13,'Table 2.3.5'!$B$6:$Z$41,25,FALSE)</f>
        <v>10.843</v>
      </c>
      <c r="BH13" s="270">
        <f t="shared" si="16"/>
        <v>1480</v>
      </c>
      <c r="BI13" t="s">
        <v>104</v>
      </c>
      <c r="BJ13" s="434">
        <f>VLOOKUP($A13,'Table 2.3.6'!$B$6:$Z$41,25,FALSE)</f>
        <v>0.872</v>
      </c>
      <c r="BK13" s="439">
        <f t="shared" si="1"/>
        <v>119</v>
      </c>
      <c r="BL13" s="35" t="s">
        <v>104</v>
      </c>
      <c r="BM13" s="434">
        <f>VLOOKUP($A13,'Table 2.3.7'!$B$6:$Z$41,25,FALSE)</f>
        <v>2.068</v>
      </c>
      <c r="BN13" s="439">
        <f t="shared" si="2"/>
        <v>282</v>
      </c>
      <c r="BP13" t="s">
        <v>149</v>
      </c>
      <c r="BQ13" t="s">
        <v>149</v>
      </c>
      <c r="BS13" t="s">
        <v>104</v>
      </c>
      <c r="BT13" s="991">
        <f>VLOOKUP($A13,'Table 2.3.3'!$B$7:$F$42,2,FALSE)</f>
        <v>77.71581438328255</v>
      </c>
      <c r="BU13" s="991">
        <f>VLOOKUP($A13,'Table 2.3.3'!$B$7:$F$42,3,FALSE)</f>
        <v>17.53082961924597</v>
      </c>
      <c r="BV13" s="991">
        <f>VLOOKUP($A13,'Table 2.3.3'!$B$7:$F$42,4,FALSE)</f>
        <v>3.3435170757724495</v>
      </c>
      <c r="BW13" s="991">
        <f>VLOOKUP($A13,'Table 2.3.3'!$B$7:$F$42,5,FALSE)</f>
        <v>1.4098389216990213</v>
      </c>
      <c r="BY13" s="1009">
        <f t="shared" si="17"/>
        <v>8441</v>
      </c>
      <c r="CA13" t="s">
        <v>104</v>
      </c>
      <c r="CB13">
        <f>VLOOKUP($A13,'Table 2.4.1'!$A$7:$AE$37,31,FALSE)/1000</f>
        <v>5.084916999999998</v>
      </c>
      <c r="CD13" t="s">
        <v>104</v>
      </c>
      <c r="CE13">
        <v>776</v>
      </c>
      <c r="CG13" t="s">
        <v>104</v>
      </c>
      <c r="CH13" s="93">
        <v>32.241023081510534</v>
      </c>
      <c r="CJ13" t="s">
        <v>104</v>
      </c>
      <c r="CK13" s="270">
        <f>VLOOKUP($A13,'Table 2.2.4c'!$B$7:$S$42,18,FALSE)</f>
        <v>21.214</v>
      </c>
      <c r="CL13" s="270">
        <f>VLOOKUP($A13,'Table 2.2.5'!$A$6:$Y$41,25,FALSE)</f>
        <v>3.291</v>
      </c>
      <c r="CM13" s="270">
        <f>VLOOKUP($A13,'Table 2.2.6'!$B$6:$Z$41,25,FALSE)</f>
        <v>4.31</v>
      </c>
      <c r="CN13" s="270">
        <f>VLOOKUP($A13,'Table 2.2.7'!$B$6:$Z$41,25,FALSE)</f>
        <v>0.4808</v>
      </c>
      <c r="CO13" s="270">
        <f t="shared" si="3"/>
        <v>29.295799999999996</v>
      </c>
      <c r="CP13" s="431">
        <f t="shared" si="4"/>
        <v>72.41311041173137</v>
      </c>
      <c r="CQ13" s="431">
        <f t="shared" si="5"/>
        <v>11.233692201612518</v>
      </c>
      <c r="CR13" s="431">
        <f t="shared" si="6"/>
        <v>14.712006499225145</v>
      </c>
      <c r="CS13" s="431">
        <f t="shared" si="7"/>
        <v>1.6411908874309629</v>
      </c>
      <c r="CT13" s="1010"/>
    </row>
    <row r="14" spans="1:98" ht="12.75">
      <c r="A14" s="432" t="s">
        <v>72</v>
      </c>
      <c r="B14" t="s">
        <v>71</v>
      </c>
      <c r="C14" s="95">
        <f>VLOOKUP($A14,'Table 1.1'!$B$7:$K$42,4,FALSE)</f>
        <v>0.862011</v>
      </c>
      <c r="E14" t="s">
        <v>71</v>
      </c>
      <c r="F14" s="95">
        <f>VLOOKUP($A14,'Table 1.1'!$B$7:$K$42,2,FALSE)</f>
        <v>9.25</v>
      </c>
      <c r="H14" t="s">
        <v>71</v>
      </c>
      <c r="I14" s="93">
        <f t="shared" si="8"/>
        <v>93.19037837837837</v>
      </c>
      <c r="K14" t="s">
        <v>71</v>
      </c>
      <c r="L14" s="96">
        <f>VLOOKUP($A14,'Table 2.5.1'!$B$6:$Y$41,24,FALSE)</f>
        <v>257</v>
      </c>
      <c r="N14" t="s">
        <v>71</v>
      </c>
      <c r="O14" s="93">
        <f t="shared" si="9"/>
        <v>27.783783783783782</v>
      </c>
      <c r="Q14" t="s">
        <v>71</v>
      </c>
      <c r="R14" s="93">
        <f>VLOOKUP($A14,'Table 2.5.2'!$B$8:$I$42,7,FALSE)/1000</f>
        <v>5.196</v>
      </c>
      <c r="S14" s="93">
        <f>VLOOKUP($A14,'Table 2.5.2'!$B$8:$I$42,8,FALSE)/1000</f>
        <v>9.444</v>
      </c>
      <c r="T14" s="93"/>
      <c r="U14" t="s">
        <v>71</v>
      </c>
      <c r="V14" s="96">
        <f t="shared" si="10"/>
        <v>561.7297297297297</v>
      </c>
      <c r="W14" s="96">
        <f t="shared" si="11"/>
        <v>1020.972972972973</v>
      </c>
      <c r="Y14" t="s">
        <v>71</v>
      </c>
      <c r="Z14" s="94" t="str">
        <f>VLOOKUP($A14,'Table 2.5.3'!$B$6:$V$41,21,FALSE)</f>
        <v>-</v>
      </c>
      <c r="AB14" t="s">
        <v>71</v>
      </c>
      <c r="AC14" s="99" t="s">
        <v>158</v>
      </c>
      <c r="AE14" t="s">
        <v>71</v>
      </c>
      <c r="AF14" s="95">
        <f>VLOOKUP($A14,'Table 2.6.2'!$A$7:$Y$43,25,FALSE)/1000</f>
        <v>0.47</v>
      </c>
      <c r="AH14" t="s">
        <v>71</v>
      </c>
      <c r="AI14" s="94">
        <f t="shared" si="13"/>
        <v>545.2366617131336</v>
      </c>
      <c r="AK14" t="s">
        <v>71</v>
      </c>
      <c r="AL14" s="94">
        <f>VLOOKUP($A14,'Table 2.6.5'!$B$7:$S$43,18,FALSE)</f>
        <v>39.803</v>
      </c>
      <c r="AN14" t="s">
        <v>71</v>
      </c>
      <c r="AO14" s="94">
        <f>VLOOKUP($A14,'Table 2.6.4'!$B$7:$Z$43,25,FALSE)</f>
        <v>118.003</v>
      </c>
      <c r="AQ14" t="s">
        <v>71</v>
      </c>
      <c r="AR14" s="94">
        <f t="shared" si="14"/>
        <v>136.8926846641168</v>
      </c>
      <c r="AT14" t="s">
        <v>71</v>
      </c>
      <c r="AU14" s="94">
        <f>VLOOKUP($A14,'Table 2.6.6'!$B$6:$Q$41,16,FALSE)</f>
        <v>10.967</v>
      </c>
      <c r="AW14" t="s">
        <v>71</v>
      </c>
      <c r="AX14" s="94">
        <f t="shared" si="0"/>
        <v>12.722575465974334</v>
      </c>
      <c r="AZ14" t="s">
        <v>71</v>
      </c>
      <c r="BA14" s="434">
        <f>VLOOKUP($A14,'Table 2.3.4'!$B$6:$Z$41,25,FALSE)</f>
        <v>5.93190592556501</v>
      </c>
      <c r="BB14" s="431">
        <f t="shared" si="15"/>
        <v>6881</v>
      </c>
      <c r="BC14" t="s">
        <v>71</v>
      </c>
      <c r="BF14" t="s">
        <v>71</v>
      </c>
      <c r="BG14" s="434">
        <f>VLOOKUP(A14,'Table 2.3.5'!$B$6:$Z$41,25,FALSE)</f>
        <v>1.325042573063031</v>
      </c>
      <c r="BH14" s="270">
        <f t="shared" si="16"/>
        <v>1537</v>
      </c>
      <c r="BI14" t="s">
        <v>71</v>
      </c>
      <c r="BJ14" s="434">
        <f>VLOOKUP($A14,'Table 2.3.6'!$B$6:$Z$41,25,FALSE)</f>
        <v>0</v>
      </c>
      <c r="BK14" s="439">
        <f t="shared" si="1"/>
        <v>0</v>
      </c>
      <c r="BL14" s="35" t="s">
        <v>71</v>
      </c>
      <c r="BM14" s="434">
        <f>VLOOKUP($A14,'Table 2.3.7'!$B$6:$Z$41,25,FALSE)</f>
        <v>0</v>
      </c>
      <c r="BN14" s="439">
        <f t="shared" si="2"/>
        <v>0</v>
      </c>
      <c r="BP14" t="s">
        <v>149</v>
      </c>
      <c r="BQ14" t="s">
        <v>149</v>
      </c>
      <c r="BS14" t="s">
        <v>71</v>
      </c>
      <c r="BT14" s="991">
        <f>VLOOKUP($A14,'Table 2.3.3'!$B$7:$F$42,2,FALSE)</f>
        <v>81.74105034211642</v>
      </c>
      <c r="BU14" s="991">
        <f>VLOOKUP($A14,'Table 2.3.3'!$B$7:$F$42,3,FALSE)</f>
        <v>18.258949657883562</v>
      </c>
      <c r="BV14" s="991" t="str">
        <f>VLOOKUP($A14,'Table 2.3.3'!$B$7:$F$42,4,FALSE)</f>
        <v>-</v>
      </c>
      <c r="BW14" s="991" t="str">
        <f>VLOOKUP($A14,'Table 2.3.3'!$B$7:$F$42,5,FALSE)</f>
        <v>-</v>
      </c>
      <c r="BY14" s="1009">
        <f t="shared" si="17"/>
        <v>8418</v>
      </c>
      <c r="CA14" t="s">
        <v>71</v>
      </c>
      <c r="CB14">
        <f>VLOOKUP($A14,'Table 2.4.1'!$A$7:$AE$37,31,FALSE)/1000</f>
        <v>5.605728999999999</v>
      </c>
      <c r="CD14" t="s">
        <v>71</v>
      </c>
      <c r="CE14">
        <v>60</v>
      </c>
      <c r="CG14" t="s">
        <v>71</v>
      </c>
      <c r="CH14" s="93">
        <v>35.918078047589056</v>
      </c>
      <c r="CJ14" t="s">
        <v>71</v>
      </c>
      <c r="CK14" s="270">
        <f>VLOOKUP($A14,'Table 2.2.4c'!$B$7:$S$42,18,FALSE)</f>
        <v>0.941</v>
      </c>
      <c r="CL14" s="270" t="str">
        <f>VLOOKUP($A14,'Table 2.2.5'!$A$6:$Y$41,25,FALSE)</f>
        <v>-</v>
      </c>
      <c r="CM14" s="270" t="str">
        <f>VLOOKUP($A14,'Table 2.2.6'!$B$6:$Z$41,25,FALSE)</f>
        <v>-</v>
      </c>
      <c r="CN14" s="270" t="str">
        <f>VLOOKUP($A14,'Table 2.2.7'!$B$6:$Z$41,25,FALSE)</f>
        <v>-</v>
      </c>
      <c r="CO14" s="270">
        <f t="shared" si="3"/>
        <v>0.941</v>
      </c>
      <c r="CP14" s="431">
        <f t="shared" si="4"/>
        <v>100</v>
      </c>
      <c r="CQ14" s="431">
        <f t="shared" si="5"/>
        <v>0</v>
      </c>
      <c r="CR14" s="431">
        <f t="shared" si="6"/>
        <v>0</v>
      </c>
      <c r="CS14" s="431">
        <f t="shared" si="7"/>
        <v>0</v>
      </c>
      <c r="CT14" s="1010"/>
    </row>
    <row r="15" spans="1:98" ht="12.75">
      <c r="A15" s="432" t="s">
        <v>62</v>
      </c>
      <c r="B15" t="s">
        <v>63</v>
      </c>
      <c r="C15" s="95">
        <f>VLOOKUP($A15,'Table 1.1'!$B$7:$K$42,4,FALSE)</f>
        <v>10.505445</v>
      </c>
      <c r="E15" t="s">
        <v>63</v>
      </c>
      <c r="F15" s="95">
        <f>VLOOKUP($A15,'Table 1.1'!$B$7:$K$42,2,FALSE)</f>
        <v>78.868</v>
      </c>
      <c r="H15" t="s">
        <v>63</v>
      </c>
      <c r="I15" s="93">
        <f t="shared" si="8"/>
        <v>133.20288329867628</v>
      </c>
      <c r="K15" t="s">
        <v>63</v>
      </c>
      <c r="L15" s="96">
        <f>VLOOKUP($A15,'Table 2.5.1'!$B$6:$Y$41,24,FALSE)</f>
        <v>734</v>
      </c>
      <c r="N15" t="s">
        <v>63</v>
      </c>
      <c r="O15" s="93">
        <f t="shared" si="9"/>
        <v>9.306689658670184</v>
      </c>
      <c r="Q15" t="s">
        <v>63</v>
      </c>
      <c r="R15" s="93">
        <f>VLOOKUP($A15,'Table 2.5.2'!$B$8:$I$42,7,FALSE)/1000</f>
        <v>55.722</v>
      </c>
      <c r="S15" s="93">
        <f>VLOOKUP($A15,'Table 2.5.2'!$B$8:$I$42,8,FALSE)/1000</f>
        <v>130.641</v>
      </c>
      <c r="T15" s="93"/>
      <c r="U15" t="s">
        <v>63</v>
      </c>
      <c r="V15" s="96">
        <f t="shared" si="10"/>
        <v>706.5222904092915</v>
      </c>
      <c r="W15" s="96">
        <f t="shared" si="11"/>
        <v>1656.4512856925496</v>
      </c>
      <c r="Y15" t="s">
        <v>63</v>
      </c>
      <c r="Z15" s="94">
        <f>VLOOKUP($A15,'Table 2.5.3'!$B$6:$V$41,21,FALSE)</f>
        <v>9470</v>
      </c>
      <c r="AB15" t="s">
        <v>63</v>
      </c>
      <c r="AC15" s="93">
        <f t="shared" si="12"/>
        <v>120.07404777603084</v>
      </c>
      <c r="AE15" t="s">
        <v>63</v>
      </c>
      <c r="AF15" s="95">
        <f>VLOOKUP($A15,'Table 2.6.2'!$A$7:$Y$43,25,FALSE)/1000</f>
        <v>4.5816419999999995</v>
      </c>
      <c r="AH15" t="s">
        <v>63</v>
      </c>
      <c r="AI15" s="94">
        <f t="shared" si="13"/>
        <v>436.12069740977176</v>
      </c>
      <c r="AK15" t="s">
        <v>63</v>
      </c>
      <c r="AL15" s="94">
        <f>VLOOKUP($A15,'Table 2.6.5'!$B$7:$S$43,18,FALSE)</f>
        <v>944.171</v>
      </c>
      <c r="AN15" t="s">
        <v>63</v>
      </c>
      <c r="AO15" s="94">
        <f>VLOOKUP($A15,'Table 2.6.4'!$B$7:$Z$43,25,FALSE)</f>
        <v>597.2320000000001</v>
      </c>
      <c r="AQ15" t="s">
        <v>63</v>
      </c>
      <c r="AR15" s="94">
        <f t="shared" si="14"/>
        <v>56.849757435310934</v>
      </c>
      <c r="AT15" t="s">
        <v>63</v>
      </c>
      <c r="AU15" s="94">
        <f>VLOOKUP($A15,'Table 2.6.6'!$B$6:$Q$41,16,FALSE)</f>
        <v>173.997</v>
      </c>
      <c r="AW15" t="s">
        <v>63</v>
      </c>
      <c r="AX15" s="94">
        <f t="shared" si="0"/>
        <v>16.562553989859545</v>
      </c>
      <c r="AZ15" t="s">
        <v>63</v>
      </c>
      <c r="BA15" s="434">
        <f>VLOOKUP($A15,'Table 2.3.4'!$B$6:$Z$41,25,FALSE)</f>
        <v>65.49</v>
      </c>
      <c r="BB15" s="431">
        <f t="shared" si="15"/>
        <v>6234</v>
      </c>
      <c r="BC15" t="s">
        <v>63</v>
      </c>
      <c r="BF15" t="s">
        <v>63</v>
      </c>
      <c r="BG15" s="434">
        <f>VLOOKUP(A15,'Table 2.3.5'!$B$6:$Z$41,25,FALSE)</f>
        <v>15.832999999999998</v>
      </c>
      <c r="BH15" s="270">
        <f t="shared" si="16"/>
        <v>1507</v>
      </c>
      <c r="BI15" t="s">
        <v>63</v>
      </c>
      <c r="BJ15" s="434">
        <f>VLOOKUP($A15,'Table 2.3.6'!$B$6:$Z$41,25,FALSE)</f>
        <v>8.716000000000001</v>
      </c>
      <c r="BK15" s="439">
        <f t="shared" si="1"/>
        <v>830</v>
      </c>
      <c r="BL15" s="35" t="s">
        <v>63</v>
      </c>
      <c r="BM15" s="434">
        <f>VLOOKUP($A15,'Table 2.3.7'!$B$6:$Z$41,25,FALSE)</f>
        <v>6.714</v>
      </c>
      <c r="BN15" s="439">
        <f t="shared" si="2"/>
        <v>639</v>
      </c>
      <c r="BP15" t="s">
        <v>149</v>
      </c>
      <c r="BQ15" t="s">
        <v>149</v>
      </c>
      <c r="BS15" t="s">
        <v>63</v>
      </c>
      <c r="BT15" s="991">
        <f>VLOOKUP($A15,'Table 2.3.3'!$B$7:$F$42,2,FALSE)</f>
        <v>67.68782363337571</v>
      </c>
      <c r="BU15" s="991">
        <f>VLOOKUP($A15,'Table 2.3.3'!$B$7:$F$42,3,FALSE)</f>
        <v>16.364350459417278</v>
      </c>
      <c r="BV15" s="991">
        <f>VLOOKUP($A15,'Table 2.3.3'!$B$7:$F$42,4,FALSE)</f>
        <v>6.939319711016714</v>
      </c>
      <c r="BW15" s="991">
        <f>VLOOKUP($A15,'Table 2.3.3'!$B$7:$F$42,5,FALSE)</f>
        <v>9.0085061961903</v>
      </c>
      <c r="BY15" s="1009">
        <f t="shared" si="17"/>
        <v>9210</v>
      </c>
      <c r="CA15" t="s">
        <v>63</v>
      </c>
      <c r="CB15">
        <f>VLOOKUP($A15,'Table 2.4.1'!$A$7:$AE$37,31,FALSE)/1000</f>
        <v>8.863531</v>
      </c>
      <c r="CD15" t="s">
        <v>63</v>
      </c>
      <c r="CE15">
        <v>802</v>
      </c>
      <c r="CG15" t="s">
        <v>63</v>
      </c>
      <c r="CH15" s="93">
        <v>44.62297876437944</v>
      </c>
      <c r="CJ15" t="s">
        <v>63</v>
      </c>
      <c r="CK15" s="270">
        <f>VLOOKUP($A15,'Table 2.2.4c'!$B$7:$S$42,18,FALSE)</f>
        <v>54.83</v>
      </c>
      <c r="CL15" s="270">
        <f>VLOOKUP($A15,'Table 2.2.5'!$A$6:$Y$41,25,FALSE)</f>
        <v>14.316</v>
      </c>
      <c r="CM15" s="270">
        <f>VLOOKUP($A15,'Table 2.2.6'!$B$6:$Z$41,25,FALSE)</f>
        <v>0.042</v>
      </c>
      <c r="CN15" s="270">
        <f>VLOOKUP($A15,'Table 2.2.7'!$B$6:$Z$41,25,FALSE)</f>
        <v>1.9537</v>
      </c>
      <c r="CO15" s="270">
        <f t="shared" si="3"/>
        <v>71.1417</v>
      </c>
      <c r="CP15" s="431">
        <f t="shared" si="4"/>
        <v>77.07153469765271</v>
      </c>
      <c r="CQ15" s="431">
        <f t="shared" si="5"/>
        <v>20.12321887163225</v>
      </c>
      <c r="CR15" s="431">
        <f t="shared" si="6"/>
        <v>0.05903710482037961</v>
      </c>
      <c r="CS15" s="431">
        <f t="shared" si="7"/>
        <v>2.7462093258946583</v>
      </c>
      <c r="CT15" s="1010"/>
    </row>
    <row r="16" spans="1:98" ht="12.75">
      <c r="A16" s="432" t="s">
        <v>64</v>
      </c>
      <c r="B16" t="s">
        <v>3</v>
      </c>
      <c r="C16" s="95">
        <f>VLOOKUP($A16,'Table 1.1'!$B$7:$K$42,4,FALSE)</f>
        <v>81.843743</v>
      </c>
      <c r="E16" t="s">
        <v>3</v>
      </c>
      <c r="F16" s="95">
        <f>VLOOKUP($A16,'Table 1.1'!$B$7:$K$42,2,FALSE)</f>
        <v>357.104</v>
      </c>
      <c r="H16" t="s">
        <v>3</v>
      </c>
      <c r="I16" s="93">
        <f t="shared" si="8"/>
        <v>229.18741599085982</v>
      </c>
      <c r="K16" t="s">
        <v>3</v>
      </c>
      <c r="L16" s="96">
        <f>VLOOKUP($A16,'Table 2.5.1'!$B$6:$Y$41,24,FALSE)</f>
        <v>12819</v>
      </c>
      <c r="N16" t="s">
        <v>3</v>
      </c>
      <c r="O16" s="93">
        <f t="shared" si="9"/>
        <v>35.897105605089834</v>
      </c>
      <c r="Q16" s="98" t="s">
        <v>3</v>
      </c>
      <c r="R16" s="93">
        <f>VLOOKUP($A16,'Table 2.5.2'!$B$8:$I$42,7,FALSE)/1000</f>
        <v>230.782</v>
      </c>
      <c r="S16" s="93">
        <f>VLOOKUP($A16,'Table 2.5.2'!$B$8:$I$42,8,FALSE)/1000</f>
        <v>230.782</v>
      </c>
      <c r="T16" s="93"/>
      <c r="U16" t="s">
        <v>3</v>
      </c>
      <c r="V16" s="96">
        <f t="shared" si="10"/>
        <v>646.259913078543</v>
      </c>
      <c r="W16" s="96">
        <f t="shared" si="11"/>
        <v>646.259913078543</v>
      </c>
      <c r="Y16" t="s">
        <v>3</v>
      </c>
      <c r="Z16" s="94">
        <f>VLOOKUP($A16,'Table 2.5.3'!$B$6:$V$41,21,FALSE)</f>
        <v>33576</v>
      </c>
      <c r="AB16" t="s">
        <v>3</v>
      </c>
      <c r="AC16" s="93">
        <f t="shared" si="12"/>
        <v>94.02302970563197</v>
      </c>
      <c r="AE16" t="s">
        <v>3</v>
      </c>
      <c r="AF16" s="95">
        <f>VLOOKUP($A16,'Table 2.6.2'!$A$7:$Y$43,25,FALSE)/1000</f>
        <v>42.928</v>
      </c>
      <c r="AH16" t="s">
        <v>3</v>
      </c>
      <c r="AI16" s="94">
        <f t="shared" si="13"/>
        <v>524.5116905271549</v>
      </c>
      <c r="AK16" t="s">
        <v>3</v>
      </c>
      <c r="AL16" s="94">
        <f>VLOOKUP($A16,'Table 2.6.5'!$B$7:$S$43,18,FALSE)</f>
        <v>6004.233</v>
      </c>
      <c r="AN16" t="s">
        <v>3</v>
      </c>
      <c r="AO16" s="94">
        <f>VLOOKUP($A16,'Table 2.6.4'!$B$7:$Z$43,25,FALSE)</f>
        <v>2712.977</v>
      </c>
      <c r="AQ16" t="s">
        <v>3</v>
      </c>
      <c r="AR16" s="94">
        <f t="shared" si="14"/>
        <v>33.14825178511202</v>
      </c>
      <c r="AT16" s="98" t="s">
        <v>3</v>
      </c>
      <c r="AU16" s="94">
        <f>VLOOKUP($A16,'Table 2.6.6'!$B$6:$Q$41,16,FALSE)</f>
        <v>3082.58</v>
      </c>
      <c r="AW16" t="s">
        <v>3</v>
      </c>
      <c r="AX16" s="94">
        <f t="shared" si="0"/>
        <v>37.664210934243314</v>
      </c>
      <c r="AZ16" t="s">
        <v>3</v>
      </c>
      <c r="BA16" s="434">
        <f>VLOOKUP($A16,'Table 2.3.4'!$B$6:$Z$41,25,FALSE)</f>
        <v>898.5</v>
      </c>
      <c r="BB16" s="431">
        <f t="shared" si="15"/>
        <v>10978</v>
      </c>
      <c r="BC16" t="s">
        <v>3</v>
      </c>
      <c r="BF16" t="s">
        <v>3</v>
      </c>
      <c r="BG16" s="434">
        <f>VLOOKUP(A16,'Table 2.3.5'!$B$6:$Z$41,25,FALSE)</f>
        <v>61.1</v>
      </c>
      <c r="BH16" s="270">
        <f t="shared" si="16"/>
        <v>747</v>
      </c>
      <c r="BI16" t="s">
        <v>3</v>
      </c>
      <c r="BJ16" s="434">
        <f>VLOOKUP($A16,'Table 2.3.6'!$B$6:$Z$41,25,FALSE)</f>
        <v>16.6</v>
      </c>
      <c r="BK16" s="439">
        <f t="shared" si="1"/>
        <v>203</v>
      </c>
      <c r="BL16" s="35" t="s">
        <v>3</v>
      </c>
      <c r="BM16" s="434">
        <f>VLOOKUP($A16,'Table 2.3.7'!$B$6:$Z$41,25,FALSE)</f>
        <v>84.979</v>
      </c>
      <c r="BN16" s="439">
        <f t="shared" si="2"/>
        <v>1038</v>
      </c>
      <c r="BP16">
        <v>291</v>
      </c>
      <c r="BQ16">
        <v>372</v>
      </c>
      <c r="BS16" t="s">
        <v>3</v>
      </c>
      <c r="BT16" s="991">
        <f>VLOOKUP($A16,'Table 2.3.3'!$B$7:$F$42,2,FALSE)</f>
        <v>84.66997556491414</v>
      </c>
      <c r="BU16" s="991">
        <f>VLOOKUP($A16,'Table 2.3.3'!$B$7:$F$42,3,FALSE)</f>
        <v>5.757746808031445</v>
      </c>
      <c r="BV16" s="991">
        <f>VLOOKUP($A16,'Table 2.3.3'!$B$7:$F$42,4,FALSE)</f>
        <v>8.007979803595813</v>
      </c>
      <c r="BW16" s="991">
        <f>VLOOKUP($A16,'Table 2.3.3'!$B$7:$F$42,5,FALSE)</f>
        <v>1.5642978234586251</v>
      </c>
      <c r="BY16" s="1009">
        <f t="shared" si="17"/>
        <v>12966</v>
      </c>
      <c r="CA16" t="s">
        <v>3</v>
      </c>
      <c r="CB16">
        <f>VLOOKUP($A16,'Table 2.4.1'!$A$7:$AE$37,31,FALSE)/1000</f>
        <v>113.25272800000002</v>
      </c>
      <c r="CD16" t="s">
        <v>3</v>
      </c>
      <c r="CE16">
        <v>3648</v>
      </c>
      <c r="CG16" t="s">
        <v>3</v>
      </c>
      <c r="CH16" s="93">
        <v>45.85812969326486</v>
      </c>
      <c r="CJ16" t="s">
        <v>3</v>
      </c>
      <c r="CK16" s="270">
        <f>VLOOKUP($A16,'Table 2.2.4c'!$B$7:$S$42,18,FALSE)</f>
        <v>323.833</v>
      </c>
      <c r="CL16" s="270">
        <f>VLOOKUP($A16,'Table 2.2.5'!$A$6:$Y$41,25,FALSE)</f>
        <v>113.317</v>
      </c>
      <c r="CM16" s="270">
        <f>VLOOKUP($A16,'Table 2.2.6'!$B$6:$Z$41,25,FALSE)</f>
        <v>55.027</v>
      </c>
      <c r="CN16" s="270">
        <f>VLOOKUP($A16,'Table 2.2.7'!$B$6:$Z$41,25,FALSE)</f>
        <v>15.623</v>
      </c>
      <c r="CO16" s="270">
        <f t="shared" si="3"/>
        <v>507.8</v>
      </c>
      <c r="CP16" s="431">
        <f t="shared" si="4"/>
        <v>63.771760535643956</v>
      </c>
      <c r="CQ16" s="431">
        <f t="shared" si="5"/>
        <v>22.315281606931862</v>
      </c>
      <c r="CR16" s="431">
        <f t="shared" si="6"/>
        <v>10.836352894840488</v>
      </c>
      <c r="CS16" s="431">
        <f t="shared" si="7"/>
        <v>3.076604962583694</v>
      </c>
      <c r="CT16" s="1010"/>
    </row>
    <row r="17" spans="1:98" ht="12.75">
      <c r="A17" s="432" t="s">
        <v>14</v>
      </c>
      <c r="B17" t="s">
        <v>2</v>
      </c>
      <c r="C17" s="95">
        <f>VLOOKUP($A17,'Table 1.1'!$B$7:$K$42,4,FALSE)</f>
        <v>5.580516</v>
      </c>
      <c r="E17" t="s">
        <v>2</v>
      </c>
      <c r="F17" s="95">
        <f>VLOOKUP($A17,'Table 1.1'!$B$7:$K$42,2,FALSE)</f>
        <v>43.098</v>
      </c>
      <c r="H17" t="s">
        <v>2</v>
      </c>
      <c r="I17" s="93">
        <f t="shared" si="8"/>
        <v>129.48433802032577</v>
      </c>
      <c r="K17" t="s">
        <v>2</v>
      </c>
      <c r="L17" s="96">
        <f>VLOOKUP($A17,'Table 2.5.1'!$B$6:$Y$41,24,FALSE)</f>
        <v>1130</v>
      </c>
      <c r="N17" t="s">
        <v>2</v>
      </c>
      <c r="O17" s="93">
        <f t="shared" si="9"/>
        <v>26.219314121304933</v>
      </c>
      <c r="Q17" s="98" t="s">
        <v>2</v>
      </c>
      <c r="R17" s="93">
        <f>VLOOKUP($A17,'Table 2.5.2'!$B$8:$I$42,7,FALSE)/1000</f>
        <v>74.171</v>
      </c>
      <c r="S17" s="93">
        <f>VLOOKUP($A17,'Table 2.5.2'!$B$8:$I$42,8,FALSE)/1000</f>
        <v>74.171</v>
      </c>
      <c r="T17" s="93"/>
      <c r="U17" t="s">
        <v>2</v>
      </c>
      <c r="V17" s="96">
        <f t="shared" si="10"/>
        <v>1720.9847324701843</v>
      </c>
      <c r="W17" s="96">
        <f t="shared" si="11"/>
        <v>1720.9847324701843</v>
      </c>
      <c r="Y17" t="s">
        <v>2</v>
      </c>
      <c r="Z17" s="94">
        <f>VLOOKUP($A17,'Table 2.5.3'!$B$6:$V$41,21,FALSE)</f>
        <v>2629</v>
      </c>
      <c r="AB17" t="s">
        <v>2</v>
      </c>
      <c r="AC17" s="93">
        <f t="shared" si="12"/>
        <v>61.00051046452272</v>
      </c>
      <c r="AE17" t="s">
        <v>2</v>
      </c>
      <c r="AF17" s="95">
        <f>VLOOKUP($A17,'Table 2.6.2'!$A$7:$Y$43,25,FALSE)/1000</f>
        <v>2.1978310000000003</v>
      </c>
      <c r="AH17" t="s">
        <v>2</v>
      </c>
      <c r="AI17" s="94">
        <f t="shared" si="13"/>
        <v>393.8401036750007</v>
      </c>
      <c r="AK17" t="s">
        <v>2</v>
      </c>
      <c r="AL17" s="94">
        <f>VLOOKUP($A17,'Table 2.6.5'!$B$7:$S$43,18,FALSE)</f>
        <v>200.597</v>
      </c>
      <c r="AN17" t="s">
        <v>2</v>
      </c>
      <c r="AO17" s="94">
        <f>VLOOKUP($A17,'Table 2.6.4'!$B$7:$Z$43,25,FALSE)</f>
        <v>469.248</v>
      </c>
      <c r="AQ17" t="s">
        <v>2</v>
      </c>
      <c r="AR17" s="94">
        <f t="shared" si="14"/>
        <v>84.08684788288394</v>
      </c>
      <c r="AT17" s="98" t="s">
        <v>2</v>
      </c>
      <c r="AU17" s="94">
        <f>VLOOKUP($A17,'Table 2.6.6'!$B$6:$Q$41,16,FALSE)</f>
        <v>170.531</v>
      </c>
      <c r="AW17" t="s">
        <v>2</v>
      </c>
      <c r="AX17" s="94">
        <f t="shared" si="0"/>
        <v>30.558285291180958</v>
      </c>
      <c r="AZ17" t="s">
        <v>2</v>
      </c>
      <c r="BA17" s="434">
        <f>VLOOKUP($A17,'Table 2.3.4'!$B$6:$Z$41,25,FALSE)</f>
        <v>52.451</v>
      </c>
      <c r="BB17" s="431">
        <f t="shared" si="15"/>
        <v>9399</v>
      </c>
      <c r="BC17" t="s">
        <v>2</v>
      </c>
      <c r="BF17" t="s">
        <v>2</v>
      </c>
      <c r="BG17" s="434">
        <f>VLOOKUP(A17,'Table 2.3.5'!$B$6:$Z$41,25,FALSE)</f>
        <v>6.804</v>
      </c>
      <c r="BH17" s="270">
        <f t="shared" si="16"/>
        <v>1219</v>
      </c>
      <c r="BI17" t="s">
        <v>2</v>
      </c>
      <c r="BJ17" s="434">
        <f>VLOOKUP($A17,'Table 2.3.6'!$B$6:$Z$41,25,FALSE)</f>
        <v>0.278</v>
      </c>
      <c r="BK17" s="439">
        <f t="shared" si="1"/>
        <v>50</v>
      </c>
      <c r="BL17" s="35" t="s">
        <v>2</v>
      </c>
      <c r="BM17" s="434">
        <f>VLOOKUP($A17,'Table 2.3.7'!$B$6:$Z$41,25,FALSE)</f>
        <v>6.611000000000001</v>
      </c>
      <c r="BN17" s="439">
        <f t="shared" si="2"/>
        <v>1185</v>
      </c>
      <c r="BP17">
        <v>936</v>
      </c>
      <c r="BQ17">
        <v>431</v>
      </c>
      <c r="BS17" t="s">
        <v>2</v>
      </c>
      <c r="BT17" s="991">
        <f>VLOOKUP($A17,'Table 2.3.3'!$B$7:$F$42,2,FALSE)</f>
        <v>79.29819787131107</v>
      </c>
      <c r="BU17" s="991">
        <f>VLOOKUP($A17,'Table 2.3.3'!$B$7:$F$42,3,FALSE)</f>
        <v>10.286647314949201</v>
      </c>
      <c r="BV17" s="991">
        <f>VLOOKUP($A17,'Table 2.3.3'!$B$7:$F$42,4,FALSE)</f>
        <v>9.99485970004838</v>
      </c>
      <c r="BW17" s="991">
        <f>VLOOKUP($A17,'Table 2.3.3'!$B$7:$F$42,5,FALSE)</f>
        <v>0.4202951136913401</v>
      </c>
      <c r="BY17" s="1009">
        <f t="shared" si="17"/>
        <v>11853</v>
      </c>
      <c r="CA17" t="s">
        <v>2</v>
      </c>
      <c r="CB17">
        <f>VLOOKUP($A17,'Table 2.4.1'!$A$7:$AE$37,31,FALSE)/1000</f>
        <v>18.841099000000007</v>
      </c>
      <c r="CD17" t="s">
        <v>2</v>
      </c>
      <c r="CE17">
        <v>255</v>
      </c>
      <c r="CG17" t="s">
        <v>2</v>
      </c>
      <c r="CH17" s="93">
        <v>47.3123674082062</v>
      </c>
      <c r="CJ17" t="s">
        <v>2</v>
      </c>
      <c r="CK17" s="270">
        <f>VLOOKUP($A17,'Table 2.2.4c'!$B$7:$S$42,18,FALSE)</f>
        <v>16.12</v>
      </c>
      <c r="CL17" s="270">
        <f>VLOOKUP($A17,'Table 2.2.5'!$A$6:$Y$41,25,FALSE)</f>
        <v>2.615</v>
      </c>
      <c r="CM17" s="270" t="str">
        <f>VLOOKUP($A17,'Table 2.2.6'!$B$6:$Z$41,25,FALSE)</f>
        <v>-</v>
      </c>
      <c r="CN17" s="270">
        <f>VLOOKUP($A17,'Table 2.2.7'!$B$6:$Z$41,25,FALSE)</f>
        <v>3.265</v>
      </c>
      <c r="CO17" s="270">
        <f t="shared" si="3"/>
        <v>22</v>
      </c>
      <c r="CP17" s="431">
        <f t="shared" si="4"/>
        <v>73.27272727272727</v>
      </c>
      <c r="CQ17" s="431">
        <f t="shared" si="5"/>
        <v>11.886363636363637</v>
      </c>
      <c r="CR17" s="431">
        <f t="shared" si="6"/>
        <v>0</v>
      </c>
      <c r="CS17" s="431">
        <f t="shared" si="7"/>
        <v>14.840909090909092</v>
      </c>
      <c r="CT17" s="1010"/>
    </row>
    <row r="18" spans="1:98" ht="12.75">
      <c r="A18" s="432" t="s">
        <v>65</v>
      </c>
      <c r="B18" t="s">
        <v>66</v>
      </c>
      <c r="C18" s="95">
        <f>VLOOKUP($A18,'Table 1.1'!$B$7:$K$42,4,FALSE)</f>
        <v>1.339662</v>
      </c>
      <c r="E18" t="s">
        <v>66</v>
      </c>
      <c r="F18" s="95">
        <f>VLOOKUP($A18,'Table 1.1'!$B$7:$K$42,2,FALSE)</f>
        <v>45.227</v>
      </c>
      <c r="H18" t="s">
        <v>66</v>
      </c>
      <c r="I18" s="93">
        <f t="shared" si="8"/>
        <v>29.62084595484998</v>
      </c>
      <c r="K18" t="s">
        <v>66</v>
      </c>
      <c r="L18" s="96">
        <f>VLOOKUP($A18,'Table 2.5.1'!$B$6:$Y$41,24,FALSE)</f>
        <v>115</v>
      </c>
      <c r="N18" t="s">
        <v>66</v>
      </c>
      <c r="O18" s="93">
        <f t="shared" si="9"/>
        <v>2.5427289008777945</v>
      </c>
      <c r="Q18" t="s">
        <v>66</v>
      </c>
      <c r="R18" s="93">
        <f>VLOOKUP($A18,'Table 2.5.2'!$B$8:$I$42,7,FALSE)/1000</f>
        <v>16.558</v>
      </c>
      <c r="S18" s="93">
        <f>VLOOKUP($A18,'Table 2.5.2'!$B$8:$I$42,8,FALSE)/1000</f>
        <v>58.63</v>
      </c>
      <c r="T18" s="93"/>
      <c r="U18" t="s">
        <v>66</v>
      </c>
      <c r="V18" s="96">
        <f t="shared" si="10"/>
        <v>366.1087403542132</v>
      </c>
      <c r="W18" s="96">
        <f t="shared" si="11"/>
        <v>1296.3495257257832</v>
      </c>
      <c r="Y18" t="s">
        <v>66</v>
      </c>
      <c r="Z18" s="94">
        <f>VLOOKUP($A18,'Table 2.5.3'!$B$6:$V$41,21,FALSE)</f>
        <v>792</v>
      </c>
      <c r="AB18" t="s">
        <v>66</v>
      </c>
      <c r="AC18" s="93">
        <f t="shared" si="12"/>
        <v>17.511663386914897</v>
      </c>
      <c r="AE18" t="s">
        <v>66</v>
      </c>
      <c r="AF18" s="95">
        <f>VLOOKUP($A18,'Table 2.6.2'!$A$7:$Y$43,25,FALSE)/1000</f>
        <v>0.574</v>
      </c>
      <c r="AH18" t="s">
        <v>66</v>
      </c>
      <c r="AI18" s="94">
        <f t="shared" si="13"/>
        <v>428.46628477929505</v>
      </c>
      <c r="AK18" t="s">
        <v>66</v>
      </c>
      <c r="AL18" s="94">
        <f>VLOOKUP($A18,'Table 2.6.5'!$B$7:$S$43,18,FALSE)</f>
        <v>23.217</v>
      </c>
      <c r="AN18" t="s">
        <v>66</v>
      </c>
      <c r="AO18" s="94">
        <f>VLOOKUP($A18,'Table 2.6.4'!$B$7:$Z$43,25,FALSE)</f>
        <v>84.337</v>
      </c>
      <c r="AQ18" t="s">
        <v>66</v>
      </c>
      <c r="AR18" s="94">
        <f t="shared" si="14"/>
        <v>62.95393912792929</v>
      </c>
      <c r="AT18" t="s">
        <v>66</v>
      </c>
      <c r="AU18" s="94">
        <f>VLOOKUP($A18,'Table 2.6.6'!$B$6:$Q$41,16,FALSE)</f>
        <v>19.424</v>
      </c>
      <c r="AW18" t="s">
        <v>66</v>
      </c>
      <c r="AX18" s="94">
        <f t="shared" si="0"/>
        <v>14.499179643820606</v>
      </c>
      <c r="AZ18" t="s">
        <v>66</v>
      </c>
      <c r="BA18" s="434">
        <f>VLOOKUP($A18,'Table 2.3.4'!$B$6:$Z$41,25,FALSE)</f>
        <v>10.381082222547919</v>
      </c>
      <c r="BB18" s="431">
        <f t="shared" si="15"/>
        <v>7749</v>
      </c>
      <c r="BC18" t="s">
        <v>66</v>
      </c>
      <c r="BF18" t="s">
        <v>66</v>
      </c>
      <c r="BG18" s="434">
        <f>VLOOKUP(A18,'Table 2.3.5'!$B$6:$Z$41,25,FALSE)</f>
        <v>2.0706943</v>
      </c>
      <c r="BH18" s="270">
        <f t="shared" si="16"/>
        <v>1546</v>
      </c>
      <c r="BI18" t="s">
        <v>66</v>
      </c>
      <c r="BJ18" s="434">
        <f>VLOOKUP($A18,'Table 2.3.6'!$B$6:$Z$41,25,FALSE)</f>
        <v>0.0663</v>
      </c>
      <c r="BK18" s="439">
        <f t="shared" si="1"/>
        <v>49</v>
      </c>
      <c r="BL18" s="35" t="s">
        <v>66</v>
      </c>
      <c r="BM18" s="434">
        <f>VLOOKUP($A18,'Table 2.3.7'!$B$6:$Z$41,25,FALSE)</f>
        <v>0.243</v>
      </c>
      <c r="BN18" s="439">
        <f t="shared" si="2"/>
        <v>181</v>
      </c>
      <c r="BP18" t="s">
        <v>149</v>
      </c>
      <c r="BQ18" t="s">
        <v>149</v>
      </c>
      <c r="BS18" t="s">
        <v>66</v>
      </c>
      <c r="BT18" s="991">
        <f>VLOOKUP($A18,'Table 2.3.3'!$B$7:$F$42,2,FALSE)</f>
        <v>81.3495805326869</v>
      </c>
      <c r="BU18" s="991">
        <f>VLOOKUP($A18,'Table 2.3.3'!$B$7:$F$42,3,FALSE)</f>
        <v>16.226642762789094</v>
      </c>
      <c r="BV18" s="991">
        <f>VLOOKUP($A18,'Table 2.3.3'!$B$7:$F$42,4,FALSE)</f>
        <v>1.9042280607802657</v>
      </c>
      <c r="BW18" s="991">
        <f>VLOOKUP($A18,'Table 2.3.3'!$B$7:$F$42,5,FALSE)</f>
        <v>0.5195486437437515</v>
      </c>
      <c r="BY18" s="1009">
        <f t="shared" si="17"/>
        <v>9525</v>
      </c>
      <c r="CA18" t="s">
        <v>66</v>
      </c>
      <c r="CB18">
        <f>VLOOKUP($A18,'Table 2.4.1'!$A$7:$AE$37,31,FALSE)/1000</f>
        <v>1.5887959999999999</v>
      </c>
      <c r="CD18" t="s">
        <v>66</v>
      </c>
      <c r="CE18">
        <v>78</v>
      </c>
      <c r="CG18" t="s">
        <v>66</v>
      </c>
      <c r="CH18" s="93">
        <v>50.602052806218694</v>
      </c>
      <c r="CJ18" t="s">
        <v>66</v>
      </c>
      <c r="CK18" s="270">
        <f>VLOOKUP($A18,'Table 2.2.4c'!$B$7:$S$42,18,FALSE)</f>
        <v>5.912</v>
      </c>
      <c r="CL18" s="270">
        <f>VLOOKUP($A18,'Table 2.2.5'!$A$6:$Y$41,25,FALSE)</f>
        <v>6.271</v>
      </c>
      <c r="CM18" s="270" t="str">
        <f>VLOOKUP($A18,'Table 2.2.6'!$B$6:$Z$41,25,FALSE)</f>
        <v>-</v>
      </c>
      <c r="CN18" s="270" t="str">
        <f>VLOOKUP($A18,'Table 2.2.7'!$B$6:$Z$41,25,FALSE)</f>
        <v>-</v>
      </c>
      <c r="CO18" s="270">
        <f t="shared" si="3"/>
        <v>12.183</v>
      </c>
      <c r="CP18" s="431">
        <f t="shared" si="4"/>
        <v>48.526635475662815</v>
      </c>
      <c r="CQ18" s="431">
        <f t="shared" si="5"/>
        <v>51.47336452433719</v>
      </c>
      <c r="CR18" s="431">
        <f t="shared" si="6"/>
        <v>0</v>
      </c>
      <c r="CS18" s="431">
        <f t="shared" si="7"/>
        <v>0</v>
      </c>
      <c r="CT18" s="1010"/>
    </row>
    <row r="19" spans="1:98" ht="12.75">
      <c r="A19" s="432" t="s">
        <v>15</v>
      </c>
      <c r="B19" t="s">
        <v>126</v>
      </c>
      <c r="C19" s="95">
        <f>VLOOKUP($A19,'Table 1.1'!$B$7:$K$42,4,FALSE)</f>
        <v>11.290935</v>
      </c>
      <c r="E19" t="s">
        <v>126</v>
      </c>
      <c r="F19" s="95">
        <f>VLOOKUP($A19,'Table 1.1'!$B$7:$K$42,2,FALSE)</f>
        <v>131.957</v>
      </c>
      <c r="H19" t="s">
        <v>126</v>
      </c>
      <c r="I19" s="93">
        <f t="shared" si="8"/>
        <v>85.56525989526891</v>
      </c>
      <c r="K19" t="s">
        <v>126</v>
      </c>
      <c r="L19" s="96">
        <f>VLOOKUP($A19,'Table 2.5.1'!$B$6:$Y$41,24,FALSE)</f>
        <v>1191.3762114629465</v>
      </c>
      <c r="N19" t="s">
        <v>126</v>
      </c>
      <c r="O19" s="93">
        <f t="shared" si="9"/>
        <v>9.028518467856548</v>
      </c>
      <c r="Q19" s="98" t="s">
        <v>126</v>
      </c>
      <c r="R19" s="93">
        <f>VLOOKUP($A19,'Table 2.5.2'!$B$8:$I$42,7,FALSE)/1000</f>
        <v>41.35437621146295</v>
      </c>
      <c r="S19" s="93">
        <f>VLOOKUP($A19,'Table 2.5.2'!$B$8:$I$42,8,FALSE)/1000</f>
        <v>116.95437621146294</v>
      </c>
      <c r="T19" s="93"/>
      <c r="U19" t="s">
        <v>126</v>
      </c>
      <c r="V19" s="96">
        <f t="shared" si="10"/>
        <v>313.39281895968344</v>
      </c>
      <c r="W19" s="96">
        <f t="shared" si="11"/>
        <v>886.3067227313667</v>
      </c>
      <c r="Y19" t="s">
        <v>126</v>
      </c>
      <c r="Z19" s="94">
        <f>VLOOKUP($A19,'Table 2.5.3'!$B$6:$V$41,21,FALSE)</f>
        <v>2554</v>
      </c>
      <c r="AB19" t="s">
        <v>126</v>
      </c>
      <c r="AC19" s="93">
        <f t="shared" si="12"/>
        <v>19.354789817895224</v>
      </c>
      <c r="AE19" t="s">
        <v>126</v>
      </c>
      <c r="AF19" s="95">
        <f>VLOOKUP($A19,'Table 2.6.2'!$A$7:$Y$43,25,FALSE)/1000</f>
        <v>5.203591</v>
      </c>
      <c r="AH19" t="s">
        <v>126</v>
      </c>
      <c r="AI19" s="94">
        <f t="shared" si="13"/>
        <v>460.8644899647373</v>
      </c>
      <c r="AK19" t="s">
        <v>126</v>
      </c>
      <c r="AL19" s="94">
        <f>VLOOKUP($A19,'Table 2.6.5'!$B$7:$S$43,18,FALSE)</f>
        <v>1534.902</v>
      </c>
      <c r="AN19" t="s">
        <v>126</v>
      </c>
      <c r="AO19" s="94">
        <f>VLOOKUP($A19,'Table 2.6.4'!$B$7:$Z$43,25,FALSE)</f>
        <v>1321.296</v>
      </c>
      <c r="AQ19" t="s">
        <v>126</v>
      </c>
      <c r="AR19" s="94">
        <f t="shared" si="14"/>
        <v>117.02272663867078</v>
      </c>
      <c r="AT19" s="98" t="s">
        <v>126</v>
      </c>
      <c r="AU19" s="94">
        <f>VLOOKUP($A19,'Table 2.6.6'!$B$6:$Q$41,16,FALSE)</f>
        <v>58.479</v>
      </c>
      <c r="AW19" t="s">
        <v>126</v>
      </c>
      <c r="AX19" s="94">
        <f t="shared" si="0"/>
        <v>5.179287632069443</v>
      </c>
      <c r="AZ19" t="s">
        <v>126</v>
      </c>
      <c r="BA19" s="434">
        <f>VLOOKUP($A19,'Table 2.3.4'!$B$6:$Z$41,25,FALSE)</f>
        <v>98.32207994126013</v>
      </c>
      <c r="BB19" s="431">
        <f t="shared" si="15"/>
        <v>8708</v>
      </c>
      <c r="BC19" t="s">
        <v>126</v>
      </c>
      <c r="BF19" t="s">
        <v>126</v>
      </c>
      <c r="BG19" s="434">
        <f>VLOOKUP(A19,'Table 2.3.5'!$B$6:$Z$41,25,FALSE)</f>
        <v>21.161722909489495</v>
      </c>
      <c r="BH19" s="270">
        <f t="shared" si="16"/>
        <v>1874</v>
      </c>
      <c r="BI19" t="s">
        <v>126</v>
      </c>
      <c r="BJ19" s="434">
        <f>VLOOKUP($A19,'Table 2.3.6'!$B$6:$Z$41,25,FALSE)</f>
        <v>1.6745821660935505</v>
      </c>
      <c r="BK19" s="439">
        <f t="shared" si="1"/>
        <v>148</v>
      </c>
      <c r="BL19" s="35" t="s">
        <v>126</v>
      </c>
      <c r="BM19" s="434">
        <f>VLOOKUP($A19,'Table 2.3.7'!$B$6:$Z$41,25,FALSE)</f>
        <v>0.958</v>
      </c>
      <c r="BN19" s="439">
        <f t="shared" si="2"/>
        <v>85</v>
      </c>
      <c r="BP19">
        <v>76</v>
      </c>
      <c r="BQ19">
        <v>389</v>
      </c>
      <c r="BS19" t="s">
        <v>126</v>
      </c>
      <c r="BT19" s="991">
        <f>VLOOKUP($A19,'Table 2.3.3'!$B$7:$F$42,2,FALSE)</f>
        <v>80.51505940640058</v>
      </c>
      <c r="BU19" s="991">
        <f>VLOOKUP($A19,'Table 2.3.3'!$B$7:$F$42,3,FALSE)</f>
        <v>17.32914293734679</v>
      </c>
      <c r="BV19" s="991">
        <f>VLOOKUP($A19,'Table 2.3.3'!$B$7:$F$42,4,FALSE)</f>
        <v>0.7844975101972317</v>
      </c>
      <c r="BW19" s="991">
        <f>VLOOKUP($A19,'Table 2.3.3'!$B$7:$F$42,5,FALSE)</f>
        <v>1.3713001460554046</v>
      </c>
      <c r="BY19" s="1009">
        <f t="shared" si="17"/>
        <v>10815</v>
      </c>
      <c r="CA19" t="s">
        <v>126</v>
      </c>
      <c r="CB19">
        <f>VLOOKUP($A19,'Table 2.4.1'!$A$7:$AE$37,31,FALSE)/1000</f>
        <v>27.740281999999997</v>
      </c>
      <c r="CD19" t="s">
        <v>126</v>
      </c>
      <c r="CE19">
        <v>1258</v>
      </c>
      <c r="CG19" t="s">
        <v>126</v>
      </c>
      <c r="CH19" s="93">
        <v>53.71273751961035</v>
      </c>
      <c r="CJ19" t="s">
        <v>126</v>
      </c>
      <c r="CK19" s="270">
        <f>VLOOKUP($A19,'Table 2.2.4c'!$B$7:$S$42,18,FALSE)</f>
        <v>20.597</v>
      </c>
      <c r="CL19" s="270">
        <f>VLOOKUP($A19,'Table 2.2.5'!$A$6:$Y$41,25,FALSE)</f>
        <v>0.352</v>
      </c>
      <c r="CM19" s="270" t="str">
        <f>VLOOKUP($A19,'Table 2.2.6'!$B$6:$Z$41,25,FALSE)</f>
        <v>-</v>
      </c>
      <c r="CN19" s="270">
        <f>VLOOKUP($A19,'Table 2.2.7'!$B$6:$Z$41,25,FALSE)</f>
        <v>0.2313333333333333</v>
      </c>
      <c r="CO19" s="270">
        <f t="shared" si="3"/>
        <v>21.180333333333333</v>
      </c>
      <c r="CP19" s="431">
        <f t="shared" si="4"/>
        <v>97.2458727435829</v>
      </c>
      <c r="CQ19" s="431">
        <f t="shared" si="5"/>
        <v>1.6619190758722713</v>
      </c>
      <c r="CR19" s="431">
        <f t="shared" si="6"/>
        <v>0</v>
      </c>
      <c r="CS19" s="431">
        <f t="shared" si="7"/>
        <v>1.092208180544845</v>
      </c>
      <c r="CT19" s="1010"/>
    </row>
    <row r="20" spans="1:98" ht="12.75">
      <c r="A20" s="432" t="s">
        <v>67</v>
      </c>
      <c r="B20" t="s">
        <v>4</v>
      </c>
      <c r="C20" s="95">
        <f>VLOOKUP($A20,'Table 1.1'!$B$7:$K$42,4,FALSE)</f>
        <v>46.196276</v>
      </c>
      <c r="E20" t="s">
        <v>4</v>
      </c>
      <c r="F20" s="95">
        <f>VLOOKUP($A20,'Table 1.1'!$B$7:$K$42,2,FALSE)</f>
        <v>505.997</v>
      </c>
      <c r="H20" t="s">
        <v>4</v>
      </c>
      <c r="I20" s="93">
        <f t="shared" si="8"/>
        <v>91.29752943199267</v>
      </c>
      <c r="K20" t="s">
        <v>4</v>
      </c>
      <c r="L20" s="96">
        <f>VLOOKUP($A20,'Table 2.5.1'!$B$6:$Y$41,24,FALSE)</f>
        <v>14262</v>
      </c>
      <c r="N20" t="s">
        <v>4</v>
      </c>
      <c r="O20" s="93">
        <f t="shared" si="9"/>
        <v>28.185937861291666</v>
      </c>
      <c r="Q20" s="98" t="s">
        <v>4</v>
      </c>
      <c r="R20" s="93">
        <f>VLOOKUP($A20,'Table 2.5.2'!$B$8:$I$42,7,FALSE)/1000</f>
        <v>165.787</v>
      </c>
      <c r="S20" s="93">
        <f>VLOOKUP($A20,'Table 2.5.2'!$B$8:$I$42,8,FALSE)/1000</f>
        <v>666.84</v>
      </c>
      <c r="T20" s="93"/>
      <c r="U20" t="s">
        <v>4</v>
      </c>
      <c r="V20" s="96">
        <f t="shared" si="10"/>
        <v>327.64423504487183</v>
      </c>
      <c r="W20" s="96">
        <f t="shared" si="11"/>
        <v>1317.8734261270324</v>
      </c>
      <c r="Y20" t="s">
        <v>4</v>
      </c>
      <c r="Z20" s="94">
        <f>VLOOKUP($A20,'Table 2.5.3'!$B$6:$V$41,21,FALSE)</f>
        <v>15932</v>
      </c>
      <c r="AB20" t="s">
        <v>4</v>
      </c>
      <c r="AC20" s="93">
        <f t="shared" si="12"/>
        <v>31.48635268588549</v>
      </c>
      <c r="AE20" t="s">
        <v>4</v>
      </c>
      <c r="AF20" s="95">
        <f>VLOOKUP($A20,'Table 2.6.2'!$A$7:$Y$43,25,FALSE)/1000</f>
        <v>22.277</v>
      </c>
      <c r="AH20" t="s">
        <v>4</v>
      </c>
      <c r="AI20" s="94">
        <f t="shared" si="13"/>
        <v>482.2250174451292</v>
      </c>
      <c r="AK20" t="s">
        <v>4</v>
      </c>
      <c r="AL20" s="94">
        <f>VLOOKUP($A20,'Table 2.6.5'!$B$7:$S$43,18,FALSE)</f>
        <v>5027.461</v>
      </c>
      <c r="AN20" t="s">
        <v>4</v>
      </c>
      <c r="AO20" s="94">
        <f>VLOOKUP($A20,'Table 2.6.4'!$B$7:$Z$43,25,FALSE)</f>
        <v>5256.751</v>
      </c>
      <c r="AQ20" t="s">
        <v>4</v>
      </c>
      <c r="AR20" s="94">
        <f t="shared" si="14"/>
        <v>113.7916614750505</v>
      </c>
      <c r="AT20" s="98" t="s">
        <v>4</v>
      </c>
      <c r="AU20" s="94">
        <f>VLOOKUP($A20,'Table 2.6.6'!$B$6:$Q$41,16,FALSE)</f>
        <v>699.589</v>
      </c>
      <c r="AW20" t="s">
        <v>4</v>
      </c>
      <c r="AX20" s="94">
        <f t="shared" si="0"/>
        <v>15.143839732882366</v>
      </c>
      <c r="AZ20" t="s">
        <v>4</v>
      </c>
      <c r="BA20" s="434">
        <f>VLOOKUP($A20,'Table 2.3.4'!$B$6:$Z$41,25,FALSE)</f>
        <v>334.021</v>
      </c>
      <c r="BB20" s="431">
        <f t="shared" si="15"/>
        <v>7230</v>
      </c>
      <c r="BC20" t="s">
        <v>4</v>
      </c>
      <c r="BF20" t="s">
        <v>4</v>
      </c>
      <c r="BG20" s="434">
        <f>VLOOKUP(A20,'Table 2.3.5'!$B$6:$Z$41,25,FALSE)</f>
        <v>55.742</v>
      </c>
      <c r="BH20" s="270">
        <f t="shared" si="16"/>
        <v>1207</v>
      </c>
      <c r="BI20" t="s">
        <v>4</v>
      </c>
      <c r="BJ20" s="434">
        <f>VLOOKUP($A20,'Table 2.3.6'!$B$6:$Z$41,25,FALSE)</f>
        <v>6.3428</v>
      </c>
      <c r="BK20" s="439">
        <f t="shared" si="1"/>
        <v>137</v>
      </c>
      <c r="BL20" s="35" t="s">
        <v>4</v>
      </c>
      <c r="BM20" s="434">
        <f>VLOOKUP($A20,'Table 2.3.7'!$B$6:$Z$41,25,FALSE)</f>
        <v>22.795</v>
      </c>
      <c r="BN20" s="439">
        <f t="shared" si="2"/>
        <v>493</v>
      </c>
      <c r="BP20">
        <v>20</v>
      </c>
      <c r="BQ20">
        <v>368</v>
      </c>
      <c r="BS20" t="s">
        <v>4</v>
      </c>
      <c r="BT20" s="991">
        <f>VLOOKUP($A20,'Table 2.3.3'!$B$7:$F$42,2,FALSE)</f>
        <v>79.73749393651192</v>
      </c>
      <c r="BU20" s="991">
        <f>VLOOKUP($A20,'Table 2.3.3'!$B$7:$F$42,3,FALSE)</f>
        <v>13.306730376260917</v>
      </c>
      <c r="BV20" s="991">
        <f>VLOOKUP($A20,'Table 2.3.3'!$B$7:$F$42,4,FALSE)</f>
        <v>5.4416224557222135</v>
      </c>
      <c r="BW20" s="991">
        <f>VLOOKUP($A20,'Table 2.3.3'!$B$7:$F$42,5,FALSE)</f>
        <v>1.5141532315049289</v>
      </c>
      <c r="BY20" s="1009">
        <f t="shared" si="17"/>
        <v>9067</v>
      </c>
      <c r="CA20" t="s">
        <v>4</v>
      </c>
      <c r="CB20">
        <f>VLOOKUP($A20,'Table 2.4.1'!$A$7:$AE$37,31,FALSE)/1000</f>
        <v>141.366015</v>
      </c>
      <c r="CD20" t="s">
        <v>4</v>
      </c>
      <c r="CE20">
        <v>2479</v>
      </c>
      <c r="CG20" t="s">
        <v>4</v>
      </c>
      <c r="CH20" s="93">
        <v>58.20052917711913</v>
      </c>
      <c r="CJ20" t="s">
        <v>4</v>
      </c>
      <c r="CK20" s="270">
        <f>VLOOKUP($A20,'Table 2.2.4c'!$B$7:$S$42,18,FALSE)</f>
        <v>206.843</v>
      </c>
      <c r="CL20" s="270">
        <f>VLOOKUP($A20,'Table 2.2.5'!$A$6:$Y$41,25,FALSE)</f>
        <v>9.748</v>
      </c>
      <c r="CM20" s="270" t="str">
        <f>VLOOKUP($A20,'Table 2.2.6'!$B$6:$Z$41,25,FALSE)</f>
        <v>-</v>
      </c>
      <c r="CN20" s="270">
        <f>VLOOKUP($A20,'Table 2.2.7'!$B$6:$Z$41,25,FALSE)</f>
        <v>8.601</v>
      </c>
      <c r="CO20" s="270">
        <f t="shared" si="3"/>
        <v>225.19199999999998</v>
      </c>
      <c r="CP20" s="431">
        <f t="shared" si="4"/>
        <v>91.85184198372944</v>
      </c>
      <c r="CQ20" s="431">
        <f t="shared" si="5"/>
        <v>4.328750577285161</v>
      </c>
      <c r="CR20" s="431">
        <f t="shared" si="6"/>
        <v>0</v>
      </c>
      <c r="CS20" s="431">
        <f t="shared" si="7"/>
        <v>3.8194074389854</v>
      </c>
      <c r="CT20" s="1010"/>
    </row>
    <row r="21" spans="1:98" ht="12.75">
      <c r="A21" s="432" t="s">
        <v>88</v>
      </c>
      <c r="B21" t="s">
        <v>27</v>
      </c>
      <c r="C21" s="95">
        <f>VLOOKUP($A21,'Table 1.1'!$B$7:$K$42,4,FALSE)</f>
        <v>5.401267</v>
      </c>
      <c r="E21" t="s">
        <v>27</v>
      </c>
      <c r="F21" s="95">
        <f>VLOOKUP($A21,'Table 1.1'!$B$7:$K$42,2,FALSE)</f>
        <v>338.419</v>
      </c>
      <c r="H21" t="s">
        <v>27</v>
      </c>
      <c r="I21" s="93">
        <f t="shared" si="8"/>
        <v>15.960294782503347</v>
      </c>
      <c r="K21" t="s">
        <v>27</v>
      </c>
      <c r="L21" s="96">
        <f>VLOOKUP($A21,'Table 2.5.1'!$B$6:$Y$41,24,FALSE)</f>
        <v>779</v>
      </c>
      <c r="N21" t="s">
        <v>27</v>
      </c>
      <c r="O21" s="93">
        <f t="shared" si="9"/>
        <v>2.3018802135813887</v>
      </c>
      <c r="Q21" s="98" t="s">
        <v>27</v>
      </c>
      <c r="R21" s="93">
        <f>VLOOKUP($A21,'Table 2.5.2'!$B$8:$I$42,7,FALSE)/1000</f>
        <v>26.903</v>
      </c>
      <c r="S21" s="93">
        <f>VLOOKUP($A21,'Table 2.5.2'!$B$8:$I$42,8,FALSE)/1000</f>
        <v>78.161</v>
      </c>
      <c r="T21" s="93"/>
      <c r="U21" t="s">
        <v>27</v>
      </c>
      <c r="V21" s="96">
        <f t="shared" si="10"/>
        <v>79.49612758148922</v>
      </c>
      <c r="W21" s="96">
        <f t="shared" si="11"/>
        <v>230.95925465177783</v>
      </c>
      <c r="Y21" t="s">
        <v>27</v>
      </c>
      <c r="Z21" s="94">
        <f>VLOOKUP($A21,'Table 2.5.3'!$B$6:$V$41,21,FALSE)</f>
        <v>5944</v>
      </c>
      <c r="AB21" t="s">
        <v>27</v>
      </c>
      <c r="AC21" s="93">
        <f t="shared" si="12"/>
        <v>17.564025660497787</v>
      </c>
      <c r="AE21" t="s">
        <v>27</v>
      </c>
      <c r="AF21" s="95">
        <f>VLOOKUP($A21,'Table 2.6.2'!$A$7:$Y$43,25,FALSE)/1000</f>
        <v>2.978</v>
      </c>
      <c r="AH21" t="s">
        <v>27</v>
      </c>
      <c r="AI21" s="94">
        <f t="shared" si="13"/>
        <v>551.3521179382542</v>
      </c>
      <c r="AK21" t="s">
        <v>27</v>
      </c>
      <c r="AL21" s="94">
        <f>VLOOKUP($A21,'Table 2.6.5'!$B$7:$S$43,18,FALSE)</f>
        <v>516</v>
      </c>
      <c r="AN21" t="s">
        <v>27</v>
      </c>
      <c r="AO21" s="94">
        <f>VLOOKUP($A21,'Table 2.6.4'!$B$7:$Z$43,25,FALSE)</f>
        <v>488.939</v>
      </c>
      <c r="AQ21" t="s">
        <v>27</v>
      </c>
      <c r="AR21" s="94">
        <f t="shared" si="14"/>
        <v>90.52301987663266</v>
      </c>
      <c r="AT21" s="98" t="s">
        <v>27</v>
      </c>
      <c r="AU21" s="94">
        <f>VLOOKUP($A21,'Table 2.6.6'!$B$6:$Q$41,16,FALSE)</f>
        <v>107.166</v>
      </c>
      <c r="AW21" t="s">
        <v>27</v>
      </c>
      <c r="AX21" s="94">
        <f t="shared" si="0"/>
        <v>19.840900292468415</v>
      </c>
      <c r="AZ21" t="s">
        <v>27</v>
      </c>
      <c r="BA21" s="434">
        <f>VLOOKUP($A21,'Table 2.3.4'!$B$6:$Z$41,25,FALSE)</f>
        <v>65.49</v>
      </c>
      <c r="BB21" s="431">
        <f t="shared" si="15"/>
        <v>12125</v>
      </c>
      <c r="BC21" t="s">
        <v>27</v>
      </c>
      <c r="BF21" t="s">
        <v>27</v>
      </c>
      <c r="BG21" s="434">
        <f>VLOOKUP(A21,'Table 2.3.5'!$B$6:$Z$41,25,FALSE)</f>
        <v>7.54</v>
      </c>
      <c r="BH21" s="270">
        <f t="shared" si="16"/>
        <v>1396</v>
      </c>
      <c r="BI21" t="s">
        <v>27</v>
      </c>
      <c r="BJ21" s="434">
        <f>VLOOKUP($A21,'Table 2.3.6'!$B$6:$Z$41,25,FALSE)</f>
        <v>0.515</v>
      </c>
      <c r="BK21" s="439">
        <f t="shared" si="1"/>
        <v>95</v>
      </c>
      <c r="BL21" s="35" t="s">
        <v>27</v>
      </c>
      <c r="BM21" s="434">
        <f>VLOOKUP($A21,'Table 2.3.7'!$B$6:$Z$41,25,FALSE)</f>
        <v>3.882</v>
      </c>
      <c r="BN21" s="439">
        <f t="shared" si="2"/>
        <v>719</v>
      </c>
      <c r="BP21">
        <v>251</v>
      </c>
      <c r="BQ21">
        <v>386</v>
      </c>
      <c r="BS21" t="s">
        <v>27</v>
      </c>
      <c r="BT21" s="991">
        <f>VLOOKUP($A21,'Table 2.3.3'!$B$7:$F$42,2,FALSE)</f>
        <v>84.58289743887791</v>
      </c>
      <c r="BU21" s="991">
        <f>VLOOKUP($A21,'Table 2.3.3'!$B$7:$F$42,3,FALSE)</f>
        <v>9.738205018921049</v>
      </c>
      <c r="BV21" s="991">
        <f>VLOOKUP($A21,'Table 2.3.3'!$B$7:$F$42,4,FALSE)</f>
        <v>5.013754891704444</v>
      </c>
      <c r="BW21" s="991">
        <f>VLOOKUP($A21,'Table 2.3.3'!$B$7:$F$42,5,FALSE)</f>
        <v>0.6651426504965968</v>
      </c>
      <c r="BY21" s="1009">
        <f t="shared" si="17"/>
        <v>14335</v>
      </c>
      <c r="CA21" t="s">
        <v>27</v>
      </c>
      <c r="CB21">
        <f>VLOOKUP($A21,'Table 2.4.1'!$A$7:$AE$37,31,FALSE)/1000</f>
        <v>12.842099000000001</v>
      </c>
      <c r="CD21" t="s">
        <v>27</v>
      </c>
      <c r="CE21">
        <v>272</v>
      </c>
      <c r="CG21" t="s">
        <v>27</v>
      </c>
      <c r="CH21" s="93">
        <v>62.51953735542357</v>
      </c>
      <c r="CJ21" t="s">
        <v>27</v>
      </c>
      <c r="CK21" s="270">
        <f>VLOOKUP($A21,'Table 2.2.4c'!$B$7:$S$42,18,FALSE)</f>
        <v>26.863</v>
      </c>
      <c r="CL21" s="270">
        <f>VLOOKUP($A21,'Table 2.2.5'!$A$6:$Y$41,25,FALSE)</f>
        <v>9.395</v>
      </c>
      <c r="CM21" s="270">
        <f>VLOOKUP($A21,'Table 2.2.6'!$B$6:$Z$41,25,FALSE)</f>
        <v>0.09</v>
      </c>
      <c r="CN21" s="270" t="str">
        <f>VLOOKUP($A21,'Table 2.2.7'!$B$6:$Z$41,25,FALSE)</f>
        <v>-</v>
      </c>
      <c r="CO21" s="270">
        <f t="shared" si="3"/>
        <v>36.348</v>
      </c>
      <c r="CP21" s="431">
        <f t="shared" si="4"/>
        <v>73.9050291625399</v>
      </c>
      <c r="CQ21" s="431">
        <f t="shared" si="5"/>
        <v>25.847364366677674</v>
      </c>
      <c r="CR21" s="431">
        <f t="shared" si="6"/>
        <v>0.24760647078243644</v>
      </c>
      <c r="CS21" s="431">
        <f t="shared" si="7"/>
        <v>0</v>
      </c>
      <c r="CT21" s="1010"/>
    </row>
    <row r="22" spans="1:98" ht="12.75">
      <c r="A22" s="432" t="s">
        <v>68</v>
      </c>
      <c r="B22" t="s">
        <v>5</v>
      </c>
      <c r="C22" s="95">
        <f>VLOOKUP($A22,'Table 1.1'!$B$7:$K$42,4,FALSE)</f>
        <v>63.460768</v>
      </c>
      <c r="E22" t="s">
        <v>5</v>
      </c>
      <c r="F22" s="95">
        <f>VLOOKUP($A22,'Table 1.1'!$B$7:$K$42,2,FALSE)</f>
        <v>543.965</v>
      </c>
      <c r="H22" t="s">
        <v>5</v>
      </c>
      <c r="I22" s="93">
        <f t="shared" si="8"/>
        <v>116.6633294421516</v>
      </c>
      <c r="K22" t="s">
        <v>5</v>
      </c>
      <c r="L22" s="96">
        <f>VLOOKUP($A22,'Table 2.5.1'!$B$6:$Y$41,24,FALSE)</f>
        <v>11392</v>
      </c>
      <c r="N22" t="s">
        <v>5</v>
      </c>
      <c r="O22" s="93">
        <f t="shared" si="9"/>
        <v>20.942523875616995</v>
      </c>
      <c r="Q22" s="98" t="s">
        <v>5</v>
      </c>
      <c r="R22" s="93">
        <f>VLOOKUP($A22,'Table 2.5.2'!$B$8:$I$42,7,FALSE)/1000</f>
        <v>398.915</v>
      </c>
      <c r="S22" s="93">
        <f>VLOOKUP($A22,'Table 2.5.2'!$B$8:$I$42,8,FALSE)/1000</f>
        <v>1050.117</v>
      </c>
      <c r="T22" s="93"/>
      <c r="U22" t="s">
        <v>5</v>
      </c>
      <c r="V22" s="96">
        <f t="shared" si="10"/>
        <v>733.3468145928507</v>
      </c>
      <c r="W22" s="96">
        <f t="shared" si="11"/>
        <v>1930.4863364370867</v>
      </c>
      <c r="Y22" t="s">
        <v>5</v>
      </c>
      <c r="Z22" s="94">
        <f>VLOOKUP($A22,'Table 2.5.3'!$B$6:$V$41,21,FALSE)</f>
        <v>30884</v>
      </c>
      <c r="AB22" t="s">
        <v>5</v>
      </c>
      <c r="AC22" s="93">
        <f t="shared" si="12"/>
        <v>56.775711672625995</v>
      </c>
      <c r="AE22" t="s">
        <v>5</v>
      </c>
      <c r="AF22" s="95">
        <f>VLOOKUP($A22,'Table 2.6.2'!$A$7:$Y$43,25,FALSE)/1000</f>
        <v>31.875544134087242</v>
      </c>
      <c r="AH22" t="s">
        <v>5</v>
      </c>
      <c r="AI22" s="94">
        <f t="shared" si="13"/>
        <v>502.28739958027677</v>
      </c>
      <c r="AK22" t="s">
        <v>5</v>
      </c>
      <c r="AL22" s="94">
        <f>VLOOKUP($A22,'Table 2.6.5'!$B$7:$S$43,18,FALSE)</f>
        <v>3439.417</v>
      </c>
      <c r="AN22" t="s">
        <v>5</v>
      </c>
      <c r="AO22" s="94">
        <f>VLOOKUP($A22,'Table 2.6.4'!$B$7:$Z$43,25,FALSE)</f>
        <v>5251.203504939157</v>
      </c>
      <c r="AQ22" t="s">
        <v>5</v>
      </c>
      <c r="AR22" s="94">
        <f t="shared" si="14"/>
        <v>82.74724164918958</v>
      </c>
      <c r="AT22" s="98" t="s">
        <v>5</v>
      </c>
      <c r="AU22" s="94">
        <f>VLOOKUP($A22,'Table 2.6.6'!$B$6:$Q$41,16,FALSE)</f>
        <v>1898.76</v>
      </c>
      <c r="AW22" t="s">
        <v>5</v>
      </c>
      <c r="AX22" s="94">
        <f t="shared" si="0"/>
        <v>29.92021779503204</v>
      </c>
      <c r="AZ22" t="s">
        <v>5</v>
      </c>
      <c r="BA22" s="434">
        <f>VLOOKUP($A22,'Table 2.3.4'!$B$6:$Z$41,25,FALSE)</f>
        <v>812.6563135177865</v>
      </c>
      <c r="BB22" s="431">
        <f t="shared" si="15"/>
        <v>12806</v>
      </c>
      <c r="BC22" t="s">
        <v>5</v>
      </c>
      <c r="BF22" t="s">
        <v>5</v>
      </c>
      <c r="BG22" s="434">
        <f>VLOOKUP(A22,'Table 2.3.5'!$B$6:$Z$41,25,FALSE)</f>
        <v>51.0696911336898</v>
      </c>
      <c r="BH22" s="270">
        <f t="shared" si="16"/>
        <v>805</v>
      </c>
      <c r="BI22" t="s">
        <v>5</v>
      </c>
      <c r="BJ22" s="434">
        <f>VLOOKUP($A22,'Table 2.3.6'!$B$6:$Z$41,25,FALSE)</f>
        <v>15.015286050531287</v>
      </c>
      <c r="BK22" s="439">
        <f t="shared" si="1"/>
        <v>237</v>
      </c>
      <c r="BL22" s="35" t="s">
        <v>5</v>
      </c>
      <c r="BM22" s="434">
        <f>VLOOKUP($A22,'Table 2.3.7'!$B$6:$Z$41,25,FALSE)</f>
        <v>89.001541689</v>
      </c>
      <c r="BN22" s="439">
        <f t="shared" si="2"/>
        <v>1402</v>
      </c>
      <c r="BP22">
        <v>75</v>
      </c>
      <c r="BQ22">
        <v>404</v>
      </c>
      <c r="BS22" t="s">
        <v>5</v>
      </c>
      <c r="BT22" s="991">
        <f>VLOOKUP($A22,'Table 2.3.3'!$B$7:$F$42,2,FALSE)</f>
        <v>83.97440790235068</v>
      </c>
      <c r="BU22" s="991">
        <f>VLOOKUP($A22,'Table 2.3.3'!$B$7:$F$42,3,FALSE)</f>
        <v>5.277196526220879</v>
      </c>
      <c r="BV22" s="991">
        <f>VLOOKUP($A22,'Table 2.3.3'!$B$7:$F$42,4,FALSE)</f>
        <v>9.196817450882422</v>
      </c>
      <c r="BW22" s="991">
        <f>VLOOKUP($A22,'Table 2.3.3'!$B$7:$F$42,5,FALSE)</f>
        <v>1.5515781205460273</v>
      </c>
      <c r="BY22" s="1009">
        <f t="shared" si="17"/>
        <v>15250</v>
      </c>
      <c r="CA22" t="s">
        <v>5</v>
      </c>
      <c r="CB22">
        <f>VLOOKUP($A22,'Table 2.4.1'!$A$7:$AE$37,31,FALSE)/1000</f>
        <v>84.864606</v>
      </c>
      <c r="CD22" t="s">
        <v>5</v>
      </c>
      <c r="CE22">
        <v>3992</v>
      </c>
      <c r="CG22" t="s">
        <v>5</v>
      </c>
      <c r="CH22" s="93">
        <v>63.23683105665956</v>
      </c>
      <c r="CJ22" t="s">
        <v>5</v>
      </c>
      <c r="CK22" s="270">
        <f>VLOOKUP($A22,'Table 2.2.4c'!$B$7:$S$42,18,FALSE)</f>
        <v>185.685</v>
      </c>
      <c r="CL22" s="270">
        <f>VLOOKUP($A22,'Table 2.2.5'!$A$6:$Y$41,25,FALSE)</f>
        <v>34.202</v>
      </c>
      <c r="CM22" s="270">
        <f>VLOOKUP($A22,'Table 2.2.6'!$B$6:$Z$41,25,FALSE)</f>
        <v>9.035</v>
      </c>
      <c r="CN22" s="270">
        <f>VLOOKUP($A22,'Table 2.2.7'!$B$6:$Z$41,25,FALSE)</f>
        <v>18.1</v>
      </c>
      <c r="CO22" s="270">
        <f t="shared" si="3"/>
        <v>247.022</v>
      </c>
      <c r="CP22" s="431">
        <f t="shared" si="4"/>
        <v>75.16941810850855</v>
      </c>
      <c r="CQ22" s="431">
        <f t="shared" si="5"/>
        <v>13.84573033980779</v>
      </c>
      <c r="CR22" s="431">
        <f t="shared" si="6"/>
        <v>3.657568961469019</v>
      </c>
      <c r="CS22" s="431">
        <f t="shared" si="7"/>
        <v>7.327282590214638</v>
      </c>
      <c r="CT22" s="1010"/>
    </row>
    <row r="23" spans="1:98" ht="12.75">
      <c r="A23" s="432" t="s">
        <v>78</v>
      </c>
      <c r="B23" t="s">
        <v>80</v>
      </c>
      <c r="C23" s="95">
        <f>VLOOKUP($A23,'Table 1.1'!$B$7:$K$42,4,FALSE)</f>
        <v>9.957731</v>
      </c>
      <c r="E23" t="s">
        <v>80</v>
      </c>
      <c r="F23" s="95">
        <f>VLOOKUP($A23,'Table 1.1'!$B$7:$K$42,2,FALSE)</f>
        <v>93.03</v>
      </c>
      <c r="H23" t="s">
        <v>80</v>
      </c>
      <c r="I23" s="93">
        <f t="shared" si="8"/>
        <v>107.03784800601956</v>
      </c>
      <c r="K23" t="s">
        <v>80</v>
      </c>
      <c r="L23" s="96">
        <f>VLOOKUP($A23,'Table 2.5.1'!$B$6:$Y$41,24,FALSE)</f>
        <v>1477</v>
      </c>
      <c r="N23" t="s">
        <v>80</v>
      </c>
      <c r="O23" s="93">
        <f t="shared" si="9"/>
        <v>15.876598946576372</v>
      </c>
      <c r="Q23" t="s">
        <v>80</v>
      </c>
      <c r="R23" s="93">
        <f>VLOOKUP($A23,'Table 2.5.2'!$B$8:$I$42,7,FALSE)/1000</f>
        <v>31.628</v>
      </c>
      <c r="S23" s="93">
        <f>VLOOKUP($A23,'Table 2.5.2'!$B$8:$I$42,8,FALSE)/1000</f>
        <v>199.5673</v>
      </c>
      <c r="T23" s="93"/>
      <c r="U23" t="s">
        <v>80</v>
      </c>
      <c r="V23" s="96">
        <f t="shared" si="10"/>
        <v>339.9763517145007</v>
      </c>
      <c r="W23" s="96">
        <f t="shared" si="11"/>
        <v>2145.1929485112328</v>
      </c>
      <c r="Y23" t="s">
        <v>80</v>
      </c>
      <c r="Z23" s="94">
        <f>VLOOKUP($A23,'Table 2.5.3'!$B$6:$V$41,21,FALSE)</f>
        <v>7906</v>
      </c>
      <c r="AB23" t="s">
        <v>80</v>
      </c>
      <c r="AC23" s="93">
        <f t="shared" si="12"/>
        <v>84.98333870794367</v>
      </c>
      <c r="AE23" t="s">
        <v>80</v>
      </c>
      <c r="AF23" s="95">
        <f>VLOOKUP($A23,'Table 2.6.2'!$A$7:$Y$43,25,FALSE)/1000</f>
        <v>2.967808</v>
      </c>
      <c r="AH23" t="s">
        <v>80</v>
      </c>
      <c r="AI23" s="94">
        <f t="shared" si="13"/>
        <v>298.04058776040443</v>
      </c>
      <c r="AK23" t="s">
        <v>80</v>
      </c>
      <c r="AL23" s="94">
        <f>VLOOKUP($A23,'Table 2.6.5'!$B$7:$S$43,18,FALSE)</f>
        <v>147.382</v>
      </c>
      <c r="AN23" t="s">
        <v>80</v>
      </c>
      <c r="AO23" s="94">
        <f>VLOOKUP($A23,'Table 2.6.4'!$B$7:$Z$43,25,FALSE)</f>
        <v>465.686</v>
      </c>
      <c r="AQ23" t="s">
        <v>80</v>
      </c>
      <c r="AR23" s="94">
        <f t="shared" si="14"/>
        <v>46.76627637360358</v>
      </c>
      <c r="AT23" t="s">
        <v>80</v>
      </c>
      <c r="AU23" s="94">
        <f>VLOOKUP($A23,'Table 2.6.6'!$B$6:$Q$41,16,FALSE)</f>
        <v>50.398</v>
      </c>
      <c r="AW23" t="s">
        <v>80</v>
      </c>
      <c r="AX23" s="94">
        <f t="shared" si="0"/>
        <v>5.061193157356832</v>
      </c>
      <c r="AZ23" t="s">
        <v>80</v>
      </c>
      <c r="BA23" s="434">
        <f>VLOOKUP($A23,'Table 2.3.4'!$B$6:$Z$41,25,FALSE)</f>
        <v>52.251</v>
      </c>
      <c r="BB23" s="431">
        <f t="shared" si="15"/>
        <v>5247</v>
      </c>
      <c r="BC23" t="s">
        <v>80</v>
      </c>
      <c r="BF23" t="s">
        <v>80</v>
      </c>
      <c r="BG23" s="434">
        <f>VLOOKUP(A23,'Table 2.3.5'!$B$6:$Z$41,25,FALSE)</f>
        <v>16.4557046</v>
      </c>
      <c r="BH23" s="270">
        <f t="shared" si="16"/>
        <v>1653</v>
      </c>
      <c r="BI23" t="s">
        <v>80</v>
      </c>
      <c r="BJ23" s="434">
        <f>VLOOKUP($A23,'Table 2.3.6'!$B$6:$Z$41,25,FALSE)</f>
        <v>2.503913</v>
      </c>
      <c r="BK23" s="439">
        <f t="shared" si="1"/>
        <v>251</v>
      </c>
      <c r="BL23" s="35" t="s">
        <v>80</v>
      </c>
      <c r="BM23" s="434">
        <f>VLOOKUP($A23,'Table 2.3.7'!$B$6:$Z$41,25,FALSE)</f>
        <v>7.806</v>
      </c>
      <c r="BN23" s="439">
        <f t="shared" si="2"/>
        <v>784</v>
      </c>
      <c r="BP23" t="s">
        <v>149</v>
      </c>
      <c r="BQ23" t="s">
        <v>149</v>
      </c>
      <c r="BS23" t="s">
        <v>80</v>
      </c>
      <c r="BT23" s="991">
        <f>VLOOKUP($A23,'Table 2.3.3'!$B$7:$F$42,2,FALSE)</f>
        <v>66.1265966413627</v>
      </c>
      <c r="BU23" s="991">
        <f>VLOOKUP($A23,'Table 2.3.3'!$B$7:$F$42,3,FALSE)</f>
        <v>20.82562516571198</v>
      </c>
      <c r="BV23" s="991">
        <f>VLOOKUP($A23,'Table 2.3.3'!$B$7:$F$42,4,FALSE)</f>
        <v>9.878934630580797</v>
      </c>
      <c r="BW23" s="991">
        <f>VLOOKUP($A23,'Table 2.3.3'!$B$7:$F$42,5,FALSE)</f>
        <v>3.1688435623445366</v>
      </c>
      <c r="BY23" s="1009">
        <f t="shared" si="17"/>
        <v>7935</v>
      </c>
      <c r="CA23" t="s">
        <v>80</v>
      </c>
      <c r="CB23">
        <f>VLOOKUP($A23,'Table 2.4.1'!$A$7:$AE$37,31,FALSE)/1000</f>
        <v>6.86812</v>
      </c>
      <c r="CD23" t="s">
        <v>80</v>
      </c>
      <c r="CE23">
        <v>740</v>
      </c>
      <c r="CG23" t="s">
        <v>80</v>
      </c>
      <c r="CH23" s="93">
        <v>65.68103859808107</v>
      </c>
      <c r="CJ23" t="s">
        <v>80</v>
      </c>
      <c r="CK23" s="270">
        <f>VLOOKUP($A23,'Table 2.2.4c'!$B$7:$S$42,18,FALSE)</f>
        <v>34.529</v>
      </c>
      <c r="CL23" s="270">
        <f>VLOOKUP($A23,'Table 2.2.5'!$A$6:$Y$41,25,FALSE)</f>
        <v>9.118</v>
      </c>
      <c r="CM23" s="270">
        <f>VLOOKUP($A23,'Table 2.2.6'!$B$6:$Z$41,25,FALSE)</f>
        <v>1.84</v>
      </c>
      <c r="CN23" s="270">
        <f>VLOOKUP($A23,'Table 2.2.7'!$B$6:$Z$41,25,FALSE)</f>
        <v>3.119</v>
      </c>
      <c r="CO23" s="270">
        <f t="shared" si="3"/>
        <v>48.60600000000001</v>
      </c>
      <c r="CP23" s="431">
        <f t="shared" si="4"/>
        <v>71.03855491091635</v>
      </c>
      <c r="CQ23" s="431">
        <f t="shared" si="5"/>
        <v>18.759000946385218</v>
      </c>
      <c r="CR23" s="431">
        <f t="shared" si="6"/>
        <v>3.785540879726782</v>
      </c>
      <c r="CS23" s="431">
        <f t="shared" si="7"/>
        <v>6.416903262971649</v>
      </c>
      <c r="CT23" s="1010"/>
    </row>
    <row r="24" spans="1:98" ht="12.75">
      <c r="A24" s="432" t="s">
        <v>69</v>
      </c>
      <c r="B24" t="s">
        <v>6</v>
      </c>
      <c r="C24" s="95">
        <f>VLOOKUP($A24,'Table 1.1'!$B$7:$K$42,4,FALSE)</f>
        <v>4.582769</v>
      </c>
      <c r="E24" t="s">
        <v>6</v>
      </c>
      <c r="F24" s="95">
        <f>VLOOKUP($A24,'Table 1.1'!$B$7:$K$42,2,FALSE)</f>
        <v>70.282</v>
      </c>
      <c r="H24" t="s">
        <v>6</v>
      </c>
      <c r="I24" s="93">
        <f t="shared" si="8"/>
        <v>65.20544378361458</v>
      </c>
      <c r="K24" t="s">
        <v>6</v>
      </c>
      <c r="L24" s="96">
        <f>VLOOKUP($A24,'Table 2.5.1'!$B$6:$Y$41,24,FALSE)</f>
        <v>900</v>
      </c>
      <c r="N24" t="s">
        <v>6</v>
      </c>
      <c r="O24" s="93">
        <f t="shared" si="9"/>
        <v>12.805554765089212</v>
      </c>
      <c r="Q24" s="98" t="s">
        <v>6</v>
      </c>
      <c r="R24" s="93">
        <f>VLOOKUP($A24,'Table 2.5.2'!$B$8:$I$42,7,FALSE)/1000</f>
        <v>17.311</v>
      </c>
      <c r="S24" s="93">
        <f>VLOOKUP($A24,'Table 2.5.2'!$B$8:$I$42,8,FALSE)/1000</f>
        <v>96.269</v>
      </c>
      <c r="T24" s="93"/>
      <c r="U24" t="s">
        <v>6</v>
      </c>
      <c r="V24" s="96">
        <f t="shared" si="10"/>
        <v>246.3077317093993</v>
      </c>
      <c r="W24" s="96">
        <f t="shared" si="11"/>
        <v>1369.7532796448595</v>
      </c>
      <c r="Y24" t="s">
        <v>6</v>
      </c>
      <c r="Z24" s="94">
        <f>VLOOKUP($A24,'Table 2.5.3'!$B$6:$V$41,21,FALSE)</f>
        <v>1919</v>
      </c>
      <c r="AB24" t="s">
        <v>6</v>
      </c>
      <c r="AC24" s="93">
        <f t="shared" si="12"/>
        <v>27.30428843800689</v>
      </c>
      <c r="AE24" t="s">
        <v>6</v>
      </c>
      <c r="AF24" s="95">
        <f>VLOOKUP($A24,'Table 2.6.2'!$A$7:$Y$43,25,FALSE)/1000</f>
        <v>1.912939</v>
      </c>
      <c r="AH24" t="s">
        <v>6</v>
      </c>
      <c r="AI24" s="94">
        <f t="shared" si="13"/>
        <v>417.41990486537725</v>
      </c>
      <c r="AK24" t="s">
        <v>6</v>
      </c>
      <c r="AL24" s="94">
        <f>VLOOKUP($A24,'Table 2.6.5'!$B$7:$S$43,18,FALSE)</f>
        <v>36.582</v>
      </c>
      <c r="AN24" t="s">
        <v>6</v>
      </c>
      <c r="AO24" s="94">
        <f>VLOOKUP($A24,'Table 2.6.4'!$B$7:$Z$43,25,FALSE)</f>
        <v>320.996</v>
      </c>
      <c r="AQ24" t="s">
        <v>6</v>
      </c>
      <c r="AR24" s="94">
        <f t="shared" si="14"/>
        <v>70.04411524997224</v>
      </c>
      <c r="AT24" s="98" t="s">
        <v>6</v>
      </c>
      <c r="AU24" s="94">
        <f>VLOOKUP($A24,'Table 2.6.6'!$B$6:$Q$41,16,FALSE)</f>
        <v>79.498</v>
      </c>
      <c r="AW24" t="s">
        <v>6</v>
      </c>
      <c r="AX24" s="94">
        <f t="shared" si="0"/>
        <v>17.347154089590813</v>
      </c>
      <c r="AZ24" t="s">
        <v>6</v>
      </c>
      <c r="BA24" s="434">
        <f>VLOOKUP($A24,'Table 2.3.4'!$B$6:$Z$41,25,FALSE)</f>
        <v>45.85033276086042</v>
      </c>
      <c r="BB24" s="431">
        <f t="shared" si="15"/>
        <v>10005</v>
      </c>
      <c r="BC24" t="s">
        <v>6</v>
      </c>
      <c r="BF24" t="s">
        <v>6</v>
      </c>
      <c r="BG24" s="434">
        <f>VLOOKUP(A24,'Table 2.3.5'!$B$6:$Z$41,25,FALSE)</f>
        <v>6.984728276323882</v>
      </c>
      <c r="BH24" s="270">
        <f t="shared" si="16"/>
        <v>1524</v>
      </c>
      <c r="BI24" t="s">
        <v>6</v>
      </c>
      <c r="BJ24" s="434">
        <f>VLOOKUP($A24,'Table 2.3.6'!$B$6:$Z$41,25,FALSE)</f>
        <v>0.138</v>
      </c>
      <c r="BK24" s="439">
        <f t="shared" si="1"/>
        <v>30</v>
      </c>
      <c r="BL24" s="35" t="s">
        <v>6</v>
      </c>
      <c r="BM24" s="434">
        <f>VLOOKUP($A24,'Table 2.3.7'!$B$6:$Z$41,25,FALSE)</f>
        <v>1.638</v>
      </c>
      <c r="BN24" s="439">
        <f t="shared" si="2"/>
        <v>357</v>
      </c>
      <c r="BP24">
        <v>184</v>
      </c>
      <c r="BQ24">
        <v>368</v>
      </c>
      <c r="BS24" t="s">
        <v>6</v>
      </c>
      <c r="BT24" s="991">
        <f>VLOOKUP($A24,'Table 2.3.3'!$B$7:$F$42,2,FALSE)</f>
        <v>83.95795996280174</v>
      </c>
      <c r="BU24" s="991">
        <f>VLOOKUP($A24,'Table 2.3.3'!$B$7:$F$42,3,FALSE)</f>
        <v>12.789951602603047</v>
      </c>
      <c r="BV24" s="991">
        <f>VLOOKUP($A24,'Table 2.3.3'!$B$7:$F$42,4,FALSE)</f>
        <v>2.999392373798958</v>
      </c>
      <c r="BW24" s="991">
        <f>VLOOKUP($A24,'Table 2.3.3'!$B$7:$F$42,5,FALSE)</f>
        <v>0.25269606079624923</v>
      </c>
      <c r="BY24" s="1009">
        <f t="shared" si="17"/>
        <v>11916</v>
      </c>
      <c r="CA24" t="s">
        <v>6</v>
      </c>
      <c r="CB24">
        <f>VLOOKUP($A24,'Table 2.4.1'!$A$7:$AE$37,31,FALSE)/1000</f>
        <v>20.484248</v>
      </c>
      <c r="CD24" t="s">
        <v>6</v>
      </c>
      <c r="CE24">
        <v>212</v>
      </c>
      <c r="CG24" t="s">
        <v>6</v>
      </c>
      <c r="CH24" s="93">
        <v>67.3108674370997</v>
      </c>
      <c r="CJ24" t="s">
        <v>6</v>
      </c>
      <c r="CK24" s="270">
        <f>VLOOKUP($A24,'Table 2.2.4c'!$B$7:$S$42,18,FALSE)</f>
        <v>10.108</v>
      </c>
      <c r="CL24" s="270">
        <f>VLOOKUP($A24,'Table 2.2.5'!$A$6:$Y$41,25,FALSE)</f>
        <v>0.105</v>
      </c>
      <c r="CM24" s="270" t="str">
        <f>VLOOKUP($A24,'Table 2.2.6'!$B$6:$Z$41,25,FALSE)</f>
        <v>-</v>
      </c>
      <c r="CN24" s="270" t="str">
        <f>VLOOKUP($A24,'Table 2.2.7'!$B$6:$Z$41,25,FALSE)</f>
        <v>-</v>
      </c>
      <c r="CO24" s="270">
        <f t="shared" si="3"/>
        <v>10.213000000000001</v>
      </c>
      <c r="CP24" s="431">
        <f t="shared" si="4"/>
        <v>98.97189856065798</v>
      </c>
      <c r="CQ24" s="431">
        <f t="shared" si="5"/>
        <v>1.028101439342015</v>
      </c>
      <c r="CR24" s="431">
        <f t="shared" si="6"/>
        <v>0</v>
      </c>
      <c r="CS24" s="431">
        <f t="shared" si="7"/>
        <v>0</v>
      </c>
      <c r="CT24" s="1010"/>
    </row>
    <row r="25" spans="1:98" ht="12.75">
      <c r="A25" s="432" t="s">
        <v>70</v>
      </c>
      <c r="B25" t="s">
        <v>7</v>
      </c>
      <c r="C25" s="95">
        <f>VLOOKUP($A25,'Table 1.1'!$B$7:$K$42,4,FALSE)</f>
        <v>60.820764</v>
      </c>
      <c r="E25" t="s">
        <v>7</v>
      </c>
      <c r="F25" s="95">
        <f>VLOOKUP($A25,'Table 1.1'!$B$7:$K$42,2,FALSE)</f>
        <v>301.336</v>
      </c>
      <c r="H25" t="s">
        <v>7</v>
      </c>
      <c r="I25" s="93">
        <f t="shared" si="8"/>
        <v>201.8370324156423</v>
      </c>
      <c r="K25" t="s">
        <v>7</v>
      </c>
      <c r="L25" s="96">
        <f>VLOOKUP($A25,'Table 2.5.1'!$B$6:$Y$41,24,FALSE)</f>
        <v>6668</v>
      </c>
      <c r="N25" t="s">
        <v>7</v>
      </c>
      <c r="O25" s="93">
        <f t="shared" si="9"/>
        <v>22.128122759975575</v>
      </c>
      <c r="Q25" s="98" t="s">
        <v>7</v>
      </c>
      <c r="R25" s="93">
        <f>VLOOKUP($A25,'Table 2.5.2'!$B$8:$I$42,7,FALSE)/1000</f>
        <v>186.419</v>
      </c>
      <c r="S25" s="93">
        <f>VLOOKUP($A25,'Table 2.5.2'!$B$8:$I$42,8,FALSE)/1000</f>
        <v>255.405</v>
      </c>
      <c r="T25" s="93"/>
      <c r="U25" t="s">
        <v>7</v>
      </c>
      <c r="V25" s="96">
        <f t="shared" si="10"/>
        <v>618.6416491889453</v>
      </c>
      <c r="W25" s="96">
        <f t="shared" si="11"/>
        <v>847.5754639339475</v>
      </c>
      <c r="Y25" t="s">
        <v>7</v>
      </c>
      <c r="Z25" s="94">
        <f>VLOOKUP($A25,'Table 2.5.3'!$B$6:$V$41,21,FALSE)</f>
        <v>17045</v>
      </c>
      <c r="AB25" t="s">
        <v>7</v>
      </c>
      <c r="AC25" s="93">
        <f t="shared" si="12"/>
        <v>56.56476491358483</v>
      </c>
      <c r="AE25" t="s">
        <v>7</v>
      </c>
      <c r="AF25" s="95">
        <f>VLOOKUP($A25,'Table 2.6.2'!$A$7:$Y$43,25,FALSE)/1000</f>
        <v>37.113</v>
      </c>
      <c r="AH25" t="s">
        <v>7</v>
      </c>
      <c r="AI25" s="94">
        <f t="shared" si="13"/>
        <v>610.2027919280988</v>
      </c>
      <c r="AK25" t="s">
        <v>7</v>
      </c>
      <c r="AL25" s="94">
        <f>VLOOKUP($A25,'Table 2.6.5'!$B$7:$S$43,18,FALSE)</f>
        <v>8935.447</v>
      </c>
      <c r="AN25" t="s">
        <v>7</v>
      </c>
      <c r="AO25" s="94">
        <f>VLOOKUP($A25,'Table 2.6.4'!$B$7:$Z$43,25,FALSE)</f>
        <v>4181.895</v>
      </c>
      <c r="AQ25" t="s">
        <v>7</v>
      </c>
      <c r="AR25" s="94">
        <f t="shared" si="14"/>
        <v>68.7576861086454</v>
      </c>
      <c r="AT25" s="98" t="s">
        <v>7</v>
      </c>
      <c r="AU25" s="94">
        <f>VLOOKUP($A25,'Table 2.6.6'!$B$6:$Q$41,16,FALSE)</f>
        <v>1402.089</v>
      </c>
      <c r="AW25" t="s">
        <v>7</v>
      </c>
      <c r="AX25" s="94">
        <f t="shared" si="0"/>
        <v>23.052801507064267</v>
      </c>
      <c r="AZ25" t="s">
        <v>7</v>
      </c>
      <c r="BA25" s="434">
        <f>VLOOKUP($A25,'Table 2.3.4'!$B$6:$Z$41,25,FALSE)</f>
        <v>665.818</v>
      </c>
      <c r="BB25" s="431">
        <f t="shared" si="15"/>
        <v>10947</v>
      </c>
      <c r="BC25" t="s">
        <v>7</v>
      </c>
      <c r="BF25" t="s">
        <v>7</v>
      </c>
      <c r="BG25" s="434">
        <f>VLOOKUP(A25,'Table 2.3.5'!$B$6:$Z$41,25,FALSE)</f>
        <v>103.238</v>
      </c>
      <c r="BH25" s="270">
        <f t="shared" si="16"/>
        <v>1697</v>
      </c>
      <c r="BI25" t="s">
        <v>7</v>
      </c>
      <c r="BJ25" s="434">
        <f>VLOOKUP($A25,'Table 2.3.6'!$B$6:$Z$41,25,FALSE)</f>
        <v>7.116</v>
      </c>
      <c r="BK25" s="439">
        <f t="shared" si="1"/>
        <v>117</v>
      </c>
      <c r="BL25" s="35" t="s">
        <v>7</v>
      </c>
      <c r="BM25" s="434">
        <f>VLOOKUP($A25,'Table 2.3.7'!$B$6:$Z$41,25,FALSE)</f>
        <v>43.343</v>
      </c>
      <c r="BN25" s="439">
        <f t="shared" si="2"/>
        <v>713</v>
      </c>
      <c r="BP25">
        <v>154</v>
      </c>
      <c r="BQ25">
        <v>410</v>
      </c>
      <c r="BS25" t="s">
        <v>7</v>
      </c>
      <c r="BT25" s="991">
        <f>VLOOKUP($A25,'Table 2.3.3'!$B$7:$F$42,2,FALSE)</f>
        <v>81.24537073757038</v>
      </c>
      <c r="BU25" s="991">
        <f>VLOOKUP($A25,'Table 2.3.3'!$B$7:$F$42,3,FALSE)</f>
        <v>12.597450931343538</v>
      </c>
      <c r="BV25" s="991">
        <f>VLOOKUP($A25,'Table 2.3.3'!$B$7:$F$42,4,FALSE)</f>
        <v>5.2888598744379305</v>
      </c>
      <c r="BW25" s="991">
        <f>VLOOKUP($A25,'Table 2.3.3'!$B$7:$F$42,5,FALSE)</f>
        <v>0.8683184566481394</v>
      </c>
      <c r="BY25" s="1009">
        <f t="shared" si="17"/>
        <v>13474</v>
      </c>
      <c r="CA25" t="s">
        <v>7</v>
      </c>
      <c r="CB25">
        <f>VLOOKUP($A25,'Table 2.4.1'!$A$7:$AE$37,31,FALSE)/1000</f>
        <v>95.33521100000003</v>
      </c>
      <c r="CD25" t="s">
        <v>7</v>
      </c>
      <c r="CE25">
        <v>4090</v>
      </c>
      <c r="CG25" t="s">
        <v>7</v>
      </c>
      <c r="CH25" s="93">
        <v>67.46231289640913</v>
      </c>
      <c r="CJ25" t="s">
        <v>7</v>
      </c>
      <c r="CK25" s="270">
        <f>VLOOKUP($A25,'Table 2.2.4c'!$B$7:$S$42,18,FALSE)</f>
        <v>142.843</v>
      </c>
      <c r="CL25" s="270">
        <f>VLOOKUP($A25,'Table 2.2.5'!$A$6:$Y$41,25,FALSE)</f>
        <v>19.787</v>
      </c>
      <c r="CM25" s="270">
        <f>VLOOKUP($A25,'Table 2.2.6'!$B$6:$Z$41,25,FALSE)</f>
        <v>0.144</v>
      </c>
      <c r="CN25" s="270">
        <f>VLOOKUP($A25,'Table 2.2.7'!$B$6:$Z$41,25,FALSE)</f>
        <v>9.952</v>
      </c>
      <c r="CO25" s="270">
        <f t="shared" si="3"/>
        <v>172.726</v>
      </c>
      <c r="CP25" s="431">
        <f t="shared" si="4"/>
        <v>82.69918830980859</v>
      </c>
      <c r="CQ25" s="431">
        <f t="shared" si="5"/>
        <v>11.455715989486237</v>
      </c>
      <c r="CR25" s="431">
        <f t="shared" si="6"/>
        <v>0.08336903535078678</v>
      </c>
      <c r="CS25" s="431">
        <f t="shared" si="7"/>
        <v>5.761726665354376</v>
      </c>
      <c r="CT25" s="1010"/>
    </row>
    <row r="26" spans="1:98" ht="12.75">
      <c r="A26" s="432" t="s">
        <v>74</v>
      </c>
      <c r="B26" t="s">
        <v>76</v>
      </c>
      <c r="C26" s="95">
        <f>VLOOKUP($A26,'Table 1.1'!$B$7:$K$42,4,FALSE)</f>
        <v>3.007758</v>
      </c>
      <c r="E26" t="s">
        <v>76</v>
      </c>
      <c r="F26" s="95">
        <f>VLOOKUP($A26,'Table 1.1'!$B$7:$K$42,2,FALSE)</f>
        <v>65.3</v>
      </c>
      <c r="H26" t="s">
        <v>76</v>
      </c>
      <c r="I26" s="93">
        <f t="shared" si="8"/>
        <v>46.060612557427255</v>
      </c>
      <c r="K26" t="s">
        <v>76</v>
      </c>
      <c r="L26" s="96">
        <f>VLOOKUP($A26,'Table 2.5.1'!$B$6:$Y$41,24,FALSE)</f>
        <v>309</v>
      </c>
      <c r="N26" t="s">
        <v>76</v>
      </c>
      <c r="O26" s="93">
        <f t="shared" si="9"/>
        <v>4.732006125574273</v>
      </c>
      <c r="Q26" t="s">
        <v>76</v>
      </c>
      <c r="R26" s="93">
        <f>VLOOKUP($A26,'Table 2.5.2'!$B$8:$I$42,7,FALSE)/1000</f>
        <v>21.266</v>
      </c>
      <c r="S26" s="93">
        <f>VLOOKUP($A26,'Table 2.5.2'!$B$8:$I$42,8,FALSE)/1000</f>
        <v>72.047</v>
      </c>
      <c r="T26" s="93"/>
      <c r="U26" t="s">
        <v>76</v>
      </c>
      <c r="V26" s="96">
        <f t="shared" si="10"/>
        <v>325.66615620214395</v>
      </c>
      <c r="W26" s="96">
        <f t="shared" si="11"/>
        <v>1103.323124042879</v>
      </c>
      <c r="Y26" t="s">
        <v>76</v>
      </c>
      <c r="Z26" s="94">
        <f>VLOOKUP($A26,'Table 2.5.3'!$B$6:$V$41,21,FALSE)</f>
        <v>1767</v>
      </c>
      <c r="AB26" t="s">
        <v>76</v>
      </c>
      <c r="AC26" s="93">
        <f t="shared" si="12"/>
        <v>27.059724349157733</v>
      </c>
      <c r="AE26" t="s">
        <v>76</v>
      </c>
      <c r="AF26" s="95">
        <f>VLOOKUP($A26,'Table 2.6.2'!$A$7:$Y$43,25,FALSE)/1000</f>
        <v>1.7133</v>
      </c>
      <c r="AH26" t="s">
        <v>76</v>
      </c>
      <c r="AI26" s="94">
        <f t="shared" si="13"/>
        <v>569.6269447209517</v>
      </c>
      <c r="AK26" t="s">
        <v>76</v>
      </c>
      <c r="AL26" s="94">
        <f>VLOOKUP($A26,'Table 2.6.5'!$B$7:$S$43,18,FALSE)</f>
        <v>60.123999999999995</v>
      </c>
      <c r="AN26" t="s">
        <v>76</v>
      </c>
      <c r="AO26" s="94">
        <f>VLOOKUP($A26,'Table 2.6.4'!$B$7:$Z$43,25,FALSE)</f>
        <v>136.779</v>
      </c>
      <c r="AQ26" t="s">
        <v>76</v>
      </c>
      <c r="AR26" s="94">
        <f t="shared" si="14"/>
        <v>45.475400614012166</v>
      </c>
      <c r="AT26" t="s">
        <v>76</v>
      </c>
      <c r="AU26" s="94">
        <f>VLOOKUP($A26,'Table 2.6.6'!$B$6:$Q$41,16,FALSE)</f>
        <v>12.165</v>
      </c>
      <c r="AW26" t="s">
        <v>76</v>
      </c>
      <c r="AX26" s="94">
        <f t="shared" si="0"/>
        <v>4.044540817446085</v>
      </c>
      <c r="AZ26" t="s">
        <v>76</v>
      </c>
      <c r="BA26" s="434">
        <f>VLOOKUP($A26,'Table 2.3.4'!$B$6:$Z$41,25,FALSE)</f>
        <v>29.908</v>
      </c>
      <c r="BB26" s="431">
        <f t="shared" si="15"/>
        <v>9944</v>
      </c>
      <c r="BC26" t="s">
        <v>76</v>
      </c>
      <c r="BF26" t="s">
        <v>76</v>
      </c>
      <c r="BG26" s="434">
        <f>VLOOKUP(A26,'Table 2.3.5'!$B$6:$Z$41,25,FALSE)</f>
        <v>2.748</v>
      </c>
      <c r="BH26" s="270">
        <f t="shared" si="16"/>
        <v>914</v>
      </c>
      <c r="BI26" t="s">
        <v>76</v>
      </c>
      <c r="BJ26" s="434">
        <f>VLOOKUP($A26,'Table 2.3.6'!$B$6:$Z$41,25,FALSE)</f>
        <v>0</v>
      </c>
      <c r="BK26" s="439">
        <f t="shared" si="1"/>
        <v>0</v>
      </c>
      <c r="BL26" s="35" t="s">
        <v>76</v>
      </c>
      <c r="BM26" s="434">
        <f>VLOOKUP($A26,'Table 2.3.7'!$B$6:$Z$41,25,FALSE)</f>
        <v>0.389</v>
      </c>
      <c r="BN26" s="439">
        <f t="shared" si="2"/>
        <v>129</v>
      </c>
      <c r="BP26" t="s">
        <v>149</v>
      </c>
      <c r="BQ26" t="s">
        <v>149</v>
      </c>
      <c r="BS26" t="s">
        <v>76</v>
      </c>
      <c r="BT26" s="991">
        <f>VLOOKUP($A26,'Table 2.3.3'!$B$7:$F$42,2,FALSE)</f>
        <v>90.50688455136935</v>
      </c>
      <c r="BU26" s="991">
        <f>VLOOKUP($A26,'Table 2.3.3'!$B$7:$F$42,3,FALSE)</f>
        <v>8.315932818883342</v>
      </c>
      <c r="BV26" s="991">
        <f>VLOOKUP($A26,'Table 2.3.3'!$B$7:$F$42,4,FALSE)</f>
        <v>1.1771826297473142</v>
      </c>
      <c r="BW26" s="991" t="str">
        <f>VLOOKUP($A26,'Table 2.3.3'!$B$7:$F$42,5,FALSE)</f>
        <v>-</v>
      </c>
      <c r="BY26" s="1009">
        <f t="shared" si="17"/>
        <v>10987</v>
      </c>
      <c r="CA26" t="s">
        <v>76</v>
      </c>
      <c r="CB26">
        <f>VLOOKUP($A26,'Table 2.4.1'!$A$7:$AE$37,31,FALSE)/1000</f>
        <v>2.3131060000000008</v>
      </c>
      <c r="CD26" t="s">
        <v>76</v>
      </c>
      <c r="CE26">
        <v>300</v>
      </c>
      <c r="CG26" t="s">
        <v>76</v>
      </c>
      <c r="CH26" s="93">
        <v>68.25784095849464</v>
      </c>
      <c r="CJ26" t="s">
        <v>76</v>
      </c>
      <c r="CK26" s="270">
        <f>VLOOKUP($A26,'Table 2.2.4c'!$B$7:$S$42,18,FALSE)</f>
        <v>21.512</v>
      </c>
      <c r="CL26" s="270">
        <f>VLOOKUP($A26,'Table 2.2.5'!$A$6:$Y$41,25,FALSE)</f>
        <v>15.088</v>
      </c>
      <c r="CM26" s="270">
        <f>VLOOKUP($A26,'Table 2.2.6'!$B$6:$Z$41,25,FALSE)</f>
        <v>0.003</v>
      </c>
      <c r="CN26" s="270">
        <f>VLOOKUP($A26,'Table 2.2.7'!$B$6:$Z$41,25,FALSE)</f>
        <v>0.5913999999999999</v>
      </c>
      <c r="CO26" s="270">
        <f t="shared" si="3"/>
        <v>37.1944</v>
      </c>
      <c r="CP26" s="431">
        <f t="shared" si="4"/>
        <v>57.836663583765294</v>
      </c>
      <c r="CQ26" s="431">
        <f t="shared" si="5"/>
        <v>40.565246381175655</v>
      </c>
      <c r="CR26" s="431">
        <f t="shared" si="6"/>
        <v>0.00806573032499516</v>
      </c>
      <c r="CS26" s="431">
        <f t="shared" si="7"/>
        <v>1.5900243047340457</v>
      </c>
      <c r="CT26" s="1010"/>
    </row>
    <row r="27" spans="1:98" ht="12.75">
      <c r="A27" s="432" t="s">
        <v>77</v>
      </c>
      <c r="B27" t="s">
        <v>8</v>
      </c>
      <c r="C27" s="95">
        <f>VLOOKUP($A27,'Table 1.1'!$B$7:$K$42,4,FALSE)</f>
        <v>0.524853</v>
      </c>
      <c r="E27" t="s">
        <v>8</v>
      </c>
      <c r="F27" s="95">
        <f>VLOOKUP($A27,'Table 1.1'!$B$7:$K$42,2,FALSE)</f>
        <v>2.586</v>
      </c>
      <c r="H27" t="s">
        <v>8</v>
      </c>
      <c r="I27" s="93">
        <f t="shared" si="8"/>
        <v>202.95939675174014</v>
      </c>
      <c r="K27" t="s">
        <v>8</v>
      </c>
      <c r="L27" s="96">
        <f>VLOOKUP($A27,'Table 2.5.1'!$B$6:$Y$41,24,FALSE)</f>
        <v>152</v>
      </c>
      <c r="N27" t="s">
        <v>8</v>
      </c>
      <c r="O27" s="93">
        <f t="shared" si="9"/>
        <v>58.778035576179434</v>
      </c>
      <c r="Q27" s="98" t="s">
        <v>8</v>
      </c>
      <c r="R27" s="93">
        <f>VLOOKUP($A27,'Table 2.5.2'!$B$8:$I$42,7,FALSE)/1000</f>
        <v>2.88</v>
      </c>
      <c r="S27" s="93">
        <f>VLOOKUP($A27,'Table 2.5.2'!$B$8:$I$42,8,FALSE)/1000</f>
        <v>2.88</v>
      </c>
      <c r="T27" s="93"/>
      <c r="U27" t="s">
        <v>8</v>
      </c>
      <c r="V27" s="96">
        <f t="shared" si="10"/>
        <v>1113.6890951276102</v>
      </c>
      <c r="W27" s="96">
        <f t="shared" si="11"/>
        <v>1113.6890951276102</v>
      </c>
      <c r="Y27" t="s">
        <v>8</v>
      </c>
      <c r="Z27" s="94">
        <f>VLOOKUP($A27,'Table 2.5.3'!$B$6:$V$41,21,FALSE)</f>
        <v>275</v>
      </c>
      <c r="AB27" t="s">
        <v>8</v>
      </c>
      <c r="AC27" s="93">
        <f t="shared" si="12"/>
        <v>106.34184068058778</v>
      </c>
      <c r="AE27" t="s">
        <v>8</v>
      </c>
      <c r="AF27" s="95">
        <f>VLOOKUP($A27,'Table 2.6.2'!$A$7:$Y$43,25,FALSE)/1000</f>
        <v>0.345575</v>
      </c>
      <c r="AH27" t="s">
        <v>8</v>
      </c>
      <c r="AI27" s="94">
        <f t="shared" si="13"/>
        <v>658.4224535250823</v>
      </c>
      <c r="AK27" t="s">
        <v>8</v>
      </c>
      <c r="AL27" s="94">
        <f>VLOOKUP($A27,'Table 2.6.5'!$B$7:$S$43,18,FALSE)</f>
        <v>43.335</v>
      </c>
      <c r="AN27" t="s">
        <v>8</v>
      </c>
      <c r="AO27" s="94">
        <f>VLOOKUP($A27,'Table 2.6.4'!$B$7:$Z$43,25,FALSE)</f>
        <v>36.813</v>
      </c>
      <c r="AQ27" t="s">
        <v>8</v>
      </c>
      <c r="AR27" s="94">
        <f t="shared" si="14"/>
        <v>70.13963909894771</v>
      </c>
      <c r="AT27" s="98" t="s">
        <v>8</v>
      </c>
      <c r="AU27" s="94">
        <f>VLOOKUP($A27,'Table 2.6.6'!$B$6:$Q$41,16,FALSE)</f>
        <v>53.008</v>
      </c>
      <c r="AW27" t="s">
        <v>8</v>
      </c>
      <c r="AX27" s="94">
        <f t="shared" si="0"/>
        <v>100.99589789903078</v>
      </c>
      <c r="AZ27" t="s">
        <v>8</v>
      </c>
      <c r="BA27" s="434">
        <f>VLOOKUP($A27,'Table 2.3.4'!$B$6:$Z$41,25,FALSE)</f>
        <v>6.591758023581571</v>
      </c>
      <c r="BB27" s="431">
        <f t="shared" si="15"/>
        <v>12559</v>
      </c>
      <c r="BC27" t="s">
        <v>8</v>
      </c>
      <c r="BF27" t="s">
        <v>8</v>
      </c>
      <c r="BG27" s="434">
        <f>VLOOKUP(A27,'Table 2.3.5'!$B$6:$Z$41,25,FALSE)</f>
        <v>0.9876300463226344</v>
      </c>
      <c r="BH27" s="270">
        <f t="shared" si="16"/>
        <v>1882</v>
      </c>
      <c r="BI27" t="s">
        <v>8</v>
      </c>
      <c r="BJ27" s="434">
        <f>VLOOKUP($A27,'Table 2.3.6'!$B$6:$Z$41,25,FALSE)</f>
        <v>0</v>
      </c>
      <c r="BK27" s="439">
        <f t="shared" si="1"/>
        <v>0</v>
      </c>
      <c r="BL27" s="35" t="s">
        <v>8</v>
      </c>
      <c r="BM27" s="434">
        <f>VLOOKUP($A27,'Table 2.3.7'!$B$6:$Z$41,25,FALSE)</f>
        <v>0.349</v>
      </c>
      <c r="BN27" s="439">
        <f t="shared" si="2"/>
        <v>665</v>
      </c>
      <c r="BP27">
        <v>23</v>
      </c>
      <c r="BQ27">
        <v>457</v>
      </c>
      <c r="BS27" t="s">
        <v>8</v>
      </c>
      <c r="BT27" s="991">
        <f>VLOOKUP($A27,'Table 2.3.3'!$B$7:$F$42,2,FALSE)</f>
        <v>83.14121313768155</v>
      </c>
      <c r="BU27" s="991">
        <f>VLOOKUP($A27,'Table 2.3.3'!$B$7:$F$42,3,FALSE)</f>
        <v>12.456883260692454</v>
      </c>
      <c r="BV27" s="991">
        <f>VLOOKUP($A27,'Table 2.3.3'!$B$7:$F$42,4,FALSE)</f>
        <v>4.4019036016260085</v>
      </c>
      <c r="BW27" s="991" t="str">
        <f>VLOOKUP($A27,'Table 2.3.3'!$B$7:$F$42,5,FALSE)</f>
        <v>-</v>
      </c>
      <c r="BY27" s="1009">
        <f t="shared" si="17"/>
        <v>15106</v>
      </c>
      <c r="CA27" t="s">
        <v>8</v>
      </c>
      <c r="CB27">
        <f>VLOOKUP($A27,'Table 2.4.1'!$A$7:$AE$37,31,FALSE)/1000</f>
        <v>1.508647</v>
      </c>
      <c r="CD27" t="s">
        <v>8</v>
      </c>
      <c r="CE27">
        <v>32</v>
      </c>
      <c r="CG27" t="s">
        <v>8</v>
      </c>
      <c r="CH27" s="93">
        <v>74.10580827305226</v>
      </c>
      <c r="CJ27" t="s">
        <v>8</v>
      </c>
      <c r="CK27" s="270">
        <f>VLOOKUP($A27,'Table 2.2.4c'!$B$7:$S$42,18,FALSE)</f>
        <v>8.835</v>
      </c>
      <c r="CL27" s="270">
        <f>VLOOKUP($A27,'Table 2.2.5'!$A$6:$Y$41,25,FALSE)</f>
        <v>0.288</v>
      </c>
      <c r="CM27" s="270">
        <f>VLOOKUP($A27,'Table 2.2.6'!$B$6:$Z$41,25,FALSE)</f>
        <v>0.305</v>
      </c>
      <c r="CN27" s="270" t="str">
        <f>VLOOKUP($A27,'Table 2.2.7'!$B$6:$Z$41,25,FALSE)</f>
        <v>-</v>
      </c>
      <c r="CO27" s="270">
        <f t="shared" si="3"/>
        <v>9.428</v>
      </c>
      <c r="CP27" s="431">
        <f t="shared" si="4"/>
        <v>93.71022486211285</v>
      </c>
      <c r="CQ27" s="431">
        <f t="shared" si="5"/>
        <v>3.0547305897327104</v>
      </c>
      <c r="CR27" s="431">
        <f t="shared" si="6"/>
        <v>3.235044548154433</v>
      </c>
      <c r="CS27" s="431">
        <f t="shared" si="7"/>
        <v>0</v>
      </c>
      <c r="CT27" s="1010"/>
    </row>
    <row r="28" spans="1:98" ht="12.75">
      <c r="A28" s="432" t="s">
        <v>73</v>
      </c>
      <c r="B28" t="s">
        <v>75</v>
      </c>
      <c r="C28" s="95">
        <f>VLOOKUP($A28,'Table 1.1'!$B$7:$K$42,4,FALSE)</f>
        <v>2.041763</v>
      </c>
      <c r="E28" t="s">
        <v>75</v>
      </c>
      <c r="F28" s="95">
        <f>VLOOKUP($A28,'Table 1.1'!$B$7:$K$42,2,FALSE)</f>
        <v>64.559</v>
      </c>
      <c r="H28" t="s">
        <v>75</v>
      </c>
      <c r="I28" s="93">
        <f t="shared" si="8"/>
        <v>31.626310816462464</v>
      </c>
      <c r="K28" t="s">
        <v>75</v>
      </c>
      <c r="L28" s="96" t="str">
        <f>VLOOKUP($A28,'Table 2.5.1'!$B$6:$Y$41,24,FALSE)</f>
        <v>-</v>
      </c>
      <c r="N28" t="s">
        <v>75</v>
      </c>
      <c r="O28" s="97" t="s">
        <v>158</v>
      </c>
      <c r="Q28" t="s">
        <v>75</v>
      </c>
      <c r="R28" s="93">
        <f>VLOOKUP($A28,'Table 2.5.2'!$B$8:$I$42,7,FALSE)/1000</f>
        <v>6.969</v>
      </c>
      <c r="S28" s="93">
        <f>VLOOKUP($A28,'Table 2.5.2'!$B$8:$I$42,8,FALSE)/1000</f>
        <v>65.142</v>
      </c>
      <c r="T28" s="93"/>
      <c r="U28" t="s">
        <v>75</v>
      </c>
      <c r="V28" s="96">
        <f t="shared" si="10"/>
        <v>107.94776870769375</v>
      </c>
      <c r="W28" s="96">
        <f t="shared" si="11"/>
        <v>1009.0304992332595</v>
      </c>
      <c r="Y28" t="s">
        <v>75</v>
      </c>
      <c r="Z28" s="94">
        <f>VLOOKUP($A28,'Table 2.5.3'!$B$6:$V$41,21,FALSE)</f>
        <v>1865</v>
      </c>
      <c r="AB28" t="s">
        <v>75</v>
      </c>
      <c r="AC28" s="93">
        <f t="shared" si="12"/>
        <v>28.888303722176616</v>
      </c>
      <c r="AE28" t="s">
        <v>75</v>
      </c>
      <c r="AF28" s="95">
        <f>VLOOKUP($A28,'Table 2.6.2'!$A$7:$Y$43,25,FALSE)/1000</f>
        <v>0.6123200000000001</v>
      </c>
      <c r="AH28" t="s">
        <v>75</v>
      </c>
      <c r="AI28" s="94">
        <f t="shared" si="13"/>
        <v>299.8976864601818</v>
      </c>
      <c r="AK28" t="s">
        <v>75</v>
      </c>
      <c r="AL28" s="94">
        <f>VLOOKUP($A28,'Table 2.6.5'!$B$7:$S$43,18,FALSE)</f>
        <v>38.623000000000005</v>
      </c>
      <c r="AN28" t="s">
        <v>75</v>
      </c>
      <c r="AO28" s="94">
        <f>VLOOKUP($A28,'Table 2.6.4'!$B$7:$Z$43,25,FALSE)</f>
        <v>72.622</v>
      </c>
      <c r="AQ28" t="s">
        <v>75</v>
      </c>
      <c r="AR28" s="94">
        <f t="shared" si="14"/>
        <v>35.56828094151966</v>
      </c>
      <c r="AT28" t="s">
        <v>75</v>
      </c>
      <c r="AU28" s="94">
        <f>VLOOKUP($A28,'Table 2.6.6'!$B$6:$Q$41,16,FALSE)</f>
        <v>10.665</v>
      </c>
      <c r="AW28" t="s">
        <v>75</v>
      </c>
      <c r="AX28" s="94">
        <f t="shared" si="0"/>
        <v>5.223427008913375</v>
      </c>
      <c r="AZ28" t="s">
        <v>75</v>
      </c>
      <c r="BA28" s="434">
        <f>VLOOKUP($A28,'Table 2.3.4'!$B$6:$Z$41,25,FALSE)</f>
        <v>11.3499</v>
      </c>
      <c r="BB28" s="431">
        <f t="shared" si="15"/>
        <v>5559</v>
      </c>
      <c r="BC28" t="s">
        <v>75</v>
      </c>
      <c r="BF28" t="s">
        <v>75</v>
      </c>
      <c r="BG28" s="434">
        <f>VLOOKUP(A28,'Table 2.3.5'!$B$6:$Z$41,25,FALSE)</f>
        <v>1.981</v>
      </c>
      <c r="BH28" s="270">
        <f t="shared" si="16"/>
        <v>970</v>
      </c>
      <c r="BI28" t="s">
        <v>75</v>
      </c>
      <c r="BJ28" s="434">
        <f>VLOOKUP($A28,'Table 2.3.6'!$B$6:$Z$41,25,FALSE)</f>
        <v>0.1248</v>
      </c>
      <c r="BK28" s="439">
        <f t="shared" si="1"/>
        <v>61</v>
      </c>
      <c r="BL28" s="35" t="s">
        <v>75</v>
      </c>
      <c r="BM28" s="434">
        <f>VLOOKUP($A28,'Table 2.3.7'!$B$6:$Z$41,25,FALSE)</f>
        <v>0.741</v>
      </c>
      <c r="BN28" s="439">
        <f t="shared" si="2"/>
        <v>363</v>
      </c>
      <c r="BP28" t="s">
        <v>149</v>
      </c>
      <c r="BQ28" t="s">
        <v>149</v>
      </c>
      <c r="BS28" t="s">
        <v>75</v>
      </c>
      <c r="BT28" s="991">
        <f>VLOOKUP($A28,'Table 2.3.3'!$B$7:$F$42,2,FALSE)</f>
        <v>79.94745257700733</v>
      </c>
      <c r="BU28" s="991">
        <f>VLOOKUP($A28,'Table 2.3.3'!$B$7:$F$42,3,FALSE)</f>
        <v>13.95394704403136</v>
      </c>
      <c r="BV28" s="991">
        <f>VLOOKUP($A28,'Table 2.3.3'!$B$7:$F$42,4,FALSE)</f>
        <v>5.219522846858777</v>
      </c>
      <c r="BW28" s="991">
        <f>VLOOKUP($A28,'Table 2.3.3'!$B$7:$F$42,5,FALSE)</f>
        <v>0.8790775321025308</v>
      </c>
      <c r="BY28" s="1009">
        <f t="shared" si="17"/>
        <v>6953</v>
      </c>
      <c r="CA28" t="s">
        <v>75</v>
      </c>
      <c r="CB28">
        <f>VLOOKUP($A28,'Table 2.4.1'!$A$7:$AE$37,31,FALSE)/1000</f>
        <v>3.664392</v>
      </c>
      <c r="CD28" t="s">
        <v>75</v>
      </c>
      <c r="CE28">
        <v>218</v>
      </c>
      <c r="CG28" t="s">
        <v>75</v>
      </c>
      <c r="CH28" s="93">
        <v>74.14397719433529</v>
      </c>
      <c r="CJ28" t="s">
        <v>75</v>
      </c>
      <c r="CK28" s="270">
        <f>VLOOKUP($A28,'Table 2.2.4c'!$B$7:$S$42,18,FALSE)</f>
        <v>12.131</v>
      </c>
      <c r="CL28" s="270">
        <f>VLOOKUP($A28,'Table 2.2.5'!$A$6:$Y$41,25,FALSE)</f>
        <v>21.41</v>
      </c>
      <c r="CM28" s="270" t="str">
        <f>VLOOKUP($A28,'Table 2.2.6'!$B$6:$Z$41,25,FALSE)</f>
        <v>-</v>
      </c>
      <c r="CN28" s="270">
        <f>VLOOKUP($A28,'Table 2.2.7'!$B$6:$Z$41,25,FALSE)</f>
        <v>2.439</v>
      </c>
      <c r="CO28" s="270">
        <f t="shared" si="3"/>
        <v>35.98</v>
      </c>
      <c r="CP28" s="431">
        <f t="shared" si="4"/>
        <v>33.715953307392994</v>
      </c>
      <c r="CQ28" s="431">
        <f t="shared" si="5"/>
        <v>59.505280711506394</v>
      </c>
      <c r="CR28" s="431">
        <f t="shared" si="6"/>
        <v>0</v>
      </c>
      <c r="CS28" s="431">
        <f t="shared" si="7"/>
        <v>6.778765981100612</v>
      </c>
      <c r="CT28" s="1010"/>
    </row>
    <row r="29" spans="1:98" ht="12.75">
      <c r="A29" s="432" t="s">
        <v>79</v>
      </c>
      <c r="B29" t="s">
        <v>128</v>
      </c>
      <c r="C29" s="95">
        <f>VLOOKUP($A29,'Table 1.1'!$B$7:$K$42,4,FALSE)</f>
        <v>0.41611</v>
      </c>
      <c r="E29" t="s">
        <v>128</v>
      </c>
      <c r="F29" s="95">
        <f>VLOOKUP($A29,'Table 1.1'!$B$7:$K$42,2,FALSE)</f>
        <v>0.316</v>
      </c>
      <c r="H29" t="s">
        <v>128</v>
      </c>
      <c r="I29" s="93">
        <f t="shared" si="8"/>
        <v>1316.8037974683543</v>
      </c>
      <c r="K29" t="s">
        <v>128</v>
      </c>
      <c r="L29" s="96" t="str">
        <f>VLOOKUP($A29,'Table 2.5.1'!$B$6:$Y$41,24,FALSE)</f>
        <v>-</v>
      </c>
      <c r="N29" t="s">
        <v>128</v>
      </c>
      <c r="O29" s="97" t="s">
        <v>158</v>
      </c>
      <c r="Q29" t="s">
        <v>128</v>
      </c>
      <c r="R29" s="93">
        <f>VLOOKUP($A29,'Table 2.5.2'!$B$8:$I$42,7,FALSE)/1000</f>
        <v>0.849</v>
      </c>
      <c r="S29" s="93">
        <f>VLOOKUP($A29,'Table 2.5.2'!$B$8:$I$42,8,FALSE)/1000</f>
        <v>2.228</v>
      </c>
      <c r="T29" s="93"/>
      <c r="U29" t="s">
        <v>128</v>
      </c>
      <c r="V29" s="96">
        <f t="shared" si="10"/>
        <v>2686.7088607594937</v>
      </c>
      <c r="W29" s="96">
        <f t="shared" si="11"/>
        <v>7050.632911392406</v>
      </c>
      <c r="Y29" t="s">
        <v>128</v>
      </c>
      <c r="Z29" s="94" t="str">
        <f>VLOOKUP($A29,'Table 2.5.3'!$B$6:$V$41,21,FALSE)</f>
        <v>-</v>
      </c>
      <c r="AB29" t="s">
        <v>128</v>
      </c>
      <c r="AC29" s="99" t="s">
        <v>158</v>
      </c>
      <c r="AE29" t="s">
        <v>128</v>
      </c>
      <c r="AF29" s="95">
        <f>VLOOKUP($A29,'Table 2.6.2'!$A$7:$Y$43,25,FALSE)/1000</f>
        <v>0.24526</v>
      </c>
      <c r="AH29" t="s">
        <v>128</v>
      </c>
      <c r="AI29" s="94">
        <f t="shared" si="13"/>
        <v>589.4114537021461</v>
      </c>
      <c r="AK29" t="s">
        <v>128</v>
      </c>
      <c r="AL29" s="94">
        <f>VLOOKUP($A29,'Table 2.6.5'!$B$7:$S$43,18,FALSE)</f>
        <v>15.507000000000001</v>
      </c>
      <c r="AN29" t="s">
        <v>128</v>
      </c>
      <c r="AO29" s="94">
        <f>VLOOKUP($A29,'Table 2.6.4'!$B$7:$Z$43,25,FALSE)</f>
        <v>48.367</v>
      </c>
      <c r="AQ29" t="s">
        <v>128</v>
      </c>
      <c r="AR29" s="94">
        <f t="shared" si="14"/>
        <v>116.23609141813462</v>
      </c>
      <c r="AT29" t="s">
        <v>128</v>
      </c>
      <c r="AU29" s="94">
        <f>VLOOKUP($A29,'Table 2.6.6'!$B$6:$Q$41,16,FALSE)</f>
        <v>5.884</v>
      </c>
      <c r="AW29" t="s">
        <v>128</v>
      </c>
      <c r="AX29" s="94">
        <f t="shared" si="0"/>
        <v>14.14049169690707</v>
      </c>
      <c r="AZ29" t="s">
        <v>128</v>
      </c>
      <c r="BA29" s="434">
        <f>VLOOKUP($A29,'Table 2.3.4'!$B$6:$Z$41,25,FALSE)</f>
        <v>2.2297181531995443</v>
      </c>
      <c r="BB29" s="431">
        <f t="shared" si="15"/>
        <v>5358</v>
      </c>
      <c r="BC29" t="s">
        <v>128</v>
      </c>
      <c r="BF29" t="s">
        <v>128</v>
      </c>
      <c r="BG29" s="434">
        <f>VLOOKUP(A29,'Table 2.3.5'!$B$6:$Z$41,25,FALSE)</f>
        <v>0.47567815316050804</v>
      </c>
      <c r="BH29" s="270">
        <f t="shared" si="16"/>
        <v>1143</v>
      </c>
      <c r="BI29" t="s">
        <v>128</v>
      </c>
      <c r="BJ29" s="434">
        <f>VLOOKUP($A29,'Table 2.3.6'!$B$6:$Z$41,25,FALSE)</f>
        <v>0</v>
      </c>
      <c r="BK29" s="439">
        <f t="shared" si="1"/>
        <v>0</v>
      </c>
      <c r="BL29" s="35" t="s">
        <v>128</v>
      </c>
      <c r="BM29" s="434">
        <f>VLOOKUP($A29,'Table 2.3.7'!$B$6:$Z$41,25,FALSE)</f>
        <v>0</v>
      </c>
      <c r="BN29" s="439">
        <f t="shared" si="2"/>
        <v>0</v>
      </c>
      <c r="BP29" t="s">
        <v>149</v>
      </c>
      <c r="BQ29" t="s">
        <v>149</v>
      </c>
      <c r="BS29" t="s">
        <v>128</v>
      </c>
      <c r="BT29" s="991">
        <f>VLOOKUP($A29,'Table 2.3.3'!$B$7:$F$42,2,FALSE)</f>
        <v>82.4174317070572</v>
      </c>
      <c r="BU29" s="991">
        <f>VLOOKUP($A29,'Table 2.3.3'!$B$7:$F$42,3,FALSE)</f>
        <v>17.582568292942792</v>
      </c>
      <c r="BV29" s="991" t="str">
        <f>VLOOKUP($A29,'Table 2.3.3'!$B$7:$F$42,4,FALSE)</f>
        <v>-</v>
      </c>
      <c r="BW29" s="991" t="str">
        <f>VLOOKUP($A29,'Table 2.3.3'!$B$7:$F$42,5,FALSE)</f>
        <v>-</v>
      </c>
      <c r="BY29" s="1009">
        <f t="shared" si="17"/>
        <v>6501</v>
      </c>
      <c r="CA29" t="s">
        <v>128</v>
      </c>
      <c r="CB29">
        <f>VLOOKUP($A29,'Table 2.4.1'!$A$7:$AE$37,31,FALSE)/1000</f>
        <v>3.1662430000000006</v>
      </c>
      <c r="CD29" t="s">
        <v>128</v>
      </c>
      <c r="CE29">
        <v>15</v>
      </c>
      <c r="CG29" t="s">
        <v>128</v>
      </c>
      <c r="CH29" s="93">
        <v>74.58651102948032</v>
      </c>
      <c r="CJ29" t="s">
        <v>128</v>
      </c>
      <c r="CK29" s="270">
        <f>VLOOKUP($A29,'Table 2.2.4c'!$B$7:$S$42,18,FALSE)</f>
        <v>0.25</v>
      </c>
      <c r="CL29" s="270" t="str">
        <f>VLOOKUP($A29,'Table 2.2.5'!$A$6:$Y$41,25,FALSE)</f>
        <v>-</v>
      </c>
      <c r="CM29" s="270" t="str">
        <f>VLOOKUP($A29,'Table 2.2.6'!$B$6:$Z$41,25,FALSE)</f>
        <v>-</v>
      </c>
      <c r="CN29" s="270" t="str">
        <f>VLOOKUP($A29,'Table 2.2.7'!$B$6:$Z$41,25,FALSE)</f>
        <v>-</v>
      </c>
      <c r="CO29" s="270">
        <f t="shared" si="3"/>
        <v>0.25</v>
      </c>
      <c r="CP29" s="431">
        <f t="shared" si="4"/>
        <v>100</v>
      </c>
      <c r="CQ29" s="431">
        <f t="shared" si="5"/>
        <v>0</v>
      </c>
      <c r="CR29" s="431">
        <f t="shared" si="6"/>
        <v>0</v>
      </c>
      <c r="CS29" s="431">
        <f t="shared" si="7"/>
        <v>0</v>
      </c>
      <c r="CT29" s="1010"/>
    </row>
    <row r="30" spans="1:98" ht="12.75">
      <c r="A30" s="432" t="s">
        <v>16</v>
      </c>
      <c r="B30" t="s">
        <v>9</v>
      </c>
      <c r="C30" s="95">
        <f>VLOOKUP($A30,'Table 1.1'!$B$7:$K$42,4,FALSE)</f>
        <v>16.730348</v>
      </c>
      <c r="E30" t="s">
        <v>9</v>
      </c>
      <c r="F30" s="95">
        <f>VLOOKUP($A30,'Table 1.1'!$B$7:$K$42,2,FALSE)</f>
        <v>41.526</v>
      </c>
      <c r="H30" t="s">
        <v>9</v>
      </c>
      <c r="I30" s="93">
        <f t="shared" si="8"/>
        <v>402.8885035881134</v>
      </c>
      <c r="K30" t="s">
        <v>9</v>
      </c>
      <c r="L30" s="96">
        <f>VLOOKUP($A30,'Table 2.5.1'!$B$6:$Y$41,24,FALSE)</f>
        <v>2651</v>
      </c>
      <c r="N30" t="s">
        <v>9</v>
      </c>
      <c r="O30" s="93">
        <f t="shared" si="9"/>
        <v>63.83952222703848</v>
      </c>
      <c r="Q30" s="98" t="s">
        <v>9</v>
      </c>
      <c r="R30" s="93">
        <f>VLOOKUP($A30,'Table 2.5.2'!$B$8:$I$42,7,FALSE)/1000</f>
        <v>12.984</v>
      </c>
      <c r="S30" s="93">
        <f>VLOOKUP($A30,'Table 2.5.2'!$B$8:$I$42,8,FALSE)/1000</f>
        <v>137.691</v>
      </c>
      <c r="T30" s="93"/>
      <c r="U30" t="s">
        <v>9</v>
      </c>
      <c r="V30" s="96">
        <f t="shared" si="10"/>
        <v>312.6715792515532</v>
      </c>
      <c r="W30" s="96">
        <f t="shared" si="11"/>
        <v>3315.7780667533593</v>
      </c>
      <c r="Y30" t="s">
        <v>9</v>
      </c>
      <c r="Z30" s="94">
        <f>VLOOKUP($A30,'Table 2.5.3'!$B$6:$V$41,21,FALSE)</f>
        <v>3016</v>
      </c>
      <c r="AB30" t="s">
        <v>9</v>
      </c>
      <c r="AC30" s="93">
        <f t="shared" si="12"/>
        <v>72.62919616625727</v>
      </c>
      <c r="AE30" t="s">
        <v>9</v>
      </c>
      <c r="AF30" s="95">
        <f>VLOOKUP($A30,'Table 2.6.2'!$A$7:$Y$43,25,FALSE)/1000</f>
        <v>7.859</v>
      </c>
      <c r="AH30" t="s">
        <v>9</v>
      </c>
      <c r="AI30" s="94">
        <f t="shared" si="13"/>
        <v>469.7451601126289</v>
      </c>
      <c r="AK30" t="s">
        <v>9</v>
      </c>
      <c r="AL30" s="94">
        <f>VLOOKUP($A30,'Table 2.6.5'!$B$7:$S$43,18,FALSE)</f>
        <v>1675.091</v>
      </c>
      <c r="AN30" t="s">
        <v>9</v>
      </c>
      <c r="AO30" s="94">
        <f>VLOOKUP($A30,'Table 2.6.4'!$B$7:$Z$43,25,FALSE)</f>
        <v>990.698</v>
      </c>
      <c r="AQ30" t="s">
        <v>9</v>
      </c>
      <c r="AR30" s="94">
        <f t="shared" si="14"/>
        <v>59.2156242057846</v>
      </c>
      <c r="AT30" s="98" t="s">
        <v>9</v>
      </c>
      <c r="AU30" s="94">
        <f>VLOOKUP($A30,'Table 2.6.6'!$B$6:$Q$41,16,FALSE)</f>
        <v>502.675</v>
      </c>
      <c r="AW30" t="s">
        <v>9</v>
      </c>
      <c r="AX30" s="94">
        <f t="shared" si="0"/>
        <v>30.04569898964445</v>
      </c>
      <c r="AZ30" t="s">
        <v>9</v>
      </c>
      <c r="BA30" s="434">
        <f>VLOOKUP($A30,'Table 2.3.4'!$B$6:$Z$41,25,FALSE)</f>
        <v>140.1</v>
      </c>
      <c r="BB30" s="431">
        <f t="shared" si="15"/>
        <v>8374</v>
      </c>
      <c r="BC30" t="s">
        <v>9</v>
      </c>
      <c r="BF30" t="s">
        <v>9</v>
      </c>
      <c r="BG30" s="434">
        <f>VLOOKUP(A30,'Table 2.3.5'!$B$6:$Z$41,25,FALSE)</f>
        <v>11.934584035059281</v>
      </c>
      <c r="BH30" s="270">
        <f t="shared" si="16"/>
        <v>713</v>
      </c>
      <c r="BI30" t="s">
        <v>9</v>
      </c>
      <c r="BJ30" s="434">
        <f>VLOOKUP($A30,'Table 2.3.6'!$B$6:$Z$41,25,FALSE)</f>
        <v>1.563433979117857</v>
      </c>
      <c r="BK30" s="439">
        <f t="shared" si="1"/>
        <v>93</v>
      </c>
      <c r="BL30" s="35" t="s">
        <v>9</v>
      </c>
      <c r="BM30" s="434">
        <f>VLOOKUP($A30,'Table 2.3.7'!$B$6:$Z$41,25,FALSE)</f>
        <v>15.748</v>
      </c>
      <c r="BN30" s="439">
        <f t="shared" si="2"/>
        <v>941</v>
      </c>
      <c r="BP30">
        <v>848</v>
      </c>
      <c r="BQ30">
        <v>377</v>
      </c>
      <c r="BS30" t="s">
        <v>9</v>
      </c>
      <c r="BT30" s="991">
        <f>VLOOKUP($A30,'Table 2.3.3'!$B$7:$F$42,2,FALSE)</f>
        <v>82.73002320507545</v>
      </c>
      <c r="BU30" s="991">
        <f>VLOOKUP($A30,'Table 2.3.3'!$B$7:$F$42,3,FALSE)</f>
        <v>7.047454776326748</v>
      </c>
      <c r="BV30" s="991">
        <f>VLOOKUP($A30,'Table 2.3.3'!$B$7:$F$42,4,FALSE)</f>
        <v>9.299303393529822</v>
      </c>
      <c r="BW30" s="991">
        <f>VLOOKUP($A30,'Table 2.3.3'!$B$7:$F$42,5,FALSE)</f>
        <v>0.9232186250679784</v>
      </c>
      <c r="BY30" s="1009">
        <f t="shared" si="17"/>
        <v>10121</v>
      </c>
      <c r="CA30" t="s">
        <v>9</v>
      </c>
      <c r="CB30">
        <f>VLOOKUP($A30,'Table 2.4.1'!$A$7:$AE$37,31,FALSE)/1000</f>
        <v>31.863639</v>
      </c>
      <c r="CD30" t="s">
        <v>9</v>
      </c>
      <c r="CE30">
        <v>537</v>
      </c>
      <c r="CG30" t="s">
        <v>9</v>
      </c>
      <c r="CH30" s="93">
        <v>76.14331272780096</v>
      </c>
      <c r="CJ30" t="s">
        <v>9</v>
      </c>
      <c r="CK30" s="270">
        <f>VLOOKUP($A30,'Table 2.2.4c'!$B$7:$S$42,18,FALSE)</f>
        <v>73.411</v>
      </c>
      <c r="CL30" s="270">
        <f>VLOOKUP($A30,'Table 2.2.5'!$A$6:$Y$41,25,FALSE)</f>
        <v>6.378</v>
      </c>
      <c r="CM30" s="270">
        <f>VLOOKUP($A30,'Table 2.2.6'!$B$6:$Z$41,25,FALSE)</f>
        <v>46.316</v>
      </c>
      <c r="CN30" s="270">
        <f>VLOOKUP($A30,'Table 2.2.7'!$B$6:$Z$41,25,FALSE)</f>
        <v>5.502</v>
      </c>
      <c r="CO30" s="270">
        <f t="shared" si="3"/>
        <v>131.607</v>
      </c>
      <c r="CP30" s="431">
        <f t="shared" si="4"/>
        <v>55.780467604306764</v>
      </c>
      <c r="CQ30" s="431">
        <f t="shared" si="5"/>
        <v>4.846246780186464</v>
      </c>
      <c r="CR30" s="431">
        <f t="shared" si="6"/>
        <v>35.192656925543474</v>
      </c>
      <c r="CS30" s="431">
        <f t="shared" si="7"/>
        <v>4.180628689963299</v>
      </c>
      <c r="CT30" s="1010"/>
    </row>
    <row r="31" spans="1:98" ht="12.75">
      <c r="A31" s="432" t="s">
        <v>81</v>
      </c>
      <c r="B31" t="s">
        <v>83</v>
      </c>
      <c r="C31" s="95">
        <f>VLOOKUP($A31,'Table 1.1'!$B$7:$K$42,4,FALSE)</f>
        <v>38.538447</v>
      </c>
      <c r="E31" t="s">
        <v>83</v>
      </c>
      <c r="F31" s="95">
        <f>VLOOKUP($A31,'Table 1.1'!$B$7:$K$42,2,FALSE)</f>
        <v>312.685</v>
      </c>
      <c r="H31" t="s">
        <v>83</v>
      </c>
      <c r="I31" s="93">
        <f t="shared" si="8"/>
        <v>123.25006636071446</v>
      </c>
      <c r="K31" t="s">
        <v>83</v>
      </c>
      <c r="L31" s="96">
        <f>VLOOKUP($A31,'Table 2.5.1'!$B$6:$Y$41,24,FALSE)</f>
        <v>857</v>
      </c>
      <c r="N31" t="s">
        <v>83</v>
      </c>
      <c r="O31" s="93">
        <f t="shared" si="9"/>
        <v>2.7407774597438315</v>
      </c>
      <c r="Q31" t="s">
        <v>83</v>
      </c>
      <c r="R31" s="93">
        <f>VLOOKUP($A31,'Table 2.5.2'!$B$8:$I$42,7,FALSE)/1000</f>
        <v>173.2419</v>
      </c>
      <c r="S31" s="93">
        <f>VLOOKUP($A31,'Table 2.5.2'!$B$8:$I$42,8,FALSE)/1000</f>
        <v>406.12190000000004</v>
      </c>
      <c r="T31" s="93"/>
      <c r="U31" t="s">
        <v>83</v>
      </c>
      <c r="V31" s="96">
        <f t="shared" si="10"/>
        <v>554.046084717847</v>
      </c>
      <c r="W31" s="96">
        <f t="shared" si="11"/>
        <v>1298.8211778627056</v>
      </c>
      <c r="Y31" t="s">
        <v>83</v>
      </c>
      <c r="Z31" s="94">
        <f>VLOOKUP($A31,'Table 2.5.3'!$B$6:$V$41,21,FALSE)</f>
        <v>19725</v>
      </c>
      <c r="AB31" t="s">
        <v>83</v>
      </c>
      <c r="AC31" s="93">
        <f t="shared" si="12"/>
        <v>63.08265506819963</v>
      </c>
      <c r="AE31" t="s">
        <v>83</v>
      </c>
      <c r="AF31" s="95">
        <f>VLOOKUP($A31,'Table 2.6.2'!$A$7:$Y$43,25,FALSE)/1000</f>
        <v>18.125</v>
      </c>
      <c r="AH31" t="s">
        <v>83</v>
      </c>
      <c r="AI31" s="94">
        <f t="shared" si="13"/>
        <v>470.30955865969383</v>
      </c>
      <c r="AK31" t="s">
        <v>83</v>
      </c>
      <c r="AL31" s="94">
        <f>VLOOKUP($A31,'Table 2.6.5'!$B$7:$S$43,18,FALSE)</f>
        <v>2102.175</v>
      </c>
      <c r="AN31" t="s">
        <v>83</v>
      </c>
      <c r="AO31" s="94">
        <f>VLOOKUP($A31,'Table 2.6.4'!$B$7:$Z$43,25,FALSE)</f>
        <v>3130.729</v>
      </c>
      <c r="AQ31" t="s">
        <v>83</v>
      </c>
      <c r="AR31" s="94">
        <f t="shared" si="14"/>
        <v>81.23651168403335</v>
      </c>
      <c r="AT31" t="s">
        <v>83</v>
      </c>
      <c r="AU31" s="94">
        <f>VLOOKUP($A31,'Table 2.6.6'!$B$6:$Q$41,16,FALSE)</f>
        <v>271.215</v>
      </c>
      <c r="AW31" t="s">
        <v>83</v>
      </c>
      <c r="AX31" s="94">
        <f t="shared" si="0"/>
        <v>7.037517624931798</v>
      </c>
      <c r="AZ31" t="s">
        <v>83</v>
      </c>
      <c r="BA31" s="434">
        <f>VLOOKUP($A31,'Table 2.3.4'!$B$6:$Z$41,25,FALSE)</f>
        <v>313.209</v>
      </c>
      <c r="BB31" s="431">
        <f t="shared" si="15"/>
        <v>8127</v>
      </c>
      <c r="BC31" t="s">
        <v>83</v>
      </c>
      <c r="BF31" t="s">
        <v>83</v>
      </c>
      <c r="BG31" s="434">
        <f>VLOOKUP(A31,'Table 2.3.5'!$B$6:$Z$41,25,FALSE)</f>
        <v>20.651</v>
      </c>
      <c r="BH31" s="270">
        <f t="shared" si="16"/>
        <v>536</v>
      </c>
      <c r="BI31" t="s">
        <v>83</v>
      </c>
      <c r="BJ31" s="434">
        <f>VLOOKUP($A31,'Table 2.3.6'!$B$6:$Z$41,25,FALSE)</f>
        <v>4.403712781401456</v>
      </c>
      <c r="BK31" s="439">
        <f t="shared" si="1"/>
        <v>114</v>
      </c>
      <c r="BL31" s="35" t="s">
        <v>83</v>
      </c>
      <c r="BM31" s="434">
        <f>VLOOKUP($A31,'Table 2.3.7'!$B$6:$Z$41,25,FALSE)</f>
        <v>18.177</v>
      </c>
      <c r="BN31" s="439">
        <f t="shared" si="2"/>
        <v>472</v>
      </c>
      <c r="BP31" t="s">
        <v>149</v>
      </c>
      <c r="BQ31" t="s">
        <v>149</v>
      </c>
      <c r="BS31" t="s">
        <v>83</v>
      </c>
      <c r="BT31" s="991">
        <f>VLOOKUP($A31,'Table 2.3.3'!$B$7:$F$42,2,FALSE)</f>
        <v>87.87127529735508</v>
      </c>
      <c r="BU31" s="991">
        <f>VLOOKUP($A31,'Table 2.3.3'!$B$7:$F$42,3,FALSE)</f>
        <v>5.793670380371188</v>
      </c>
      <c r="BV31" s="991">
        <f>VLOOKUP($A31,'Table 2.3.3'!$B$7:$F$42,4,FALSE)</f>
        <v>5.0995858071767515</v>
      </c>
      <c r="BW31" s="991">
        <f>VLOOKUP($A31,'Table 2.3.3'!$B$7:$F$42,5,FALSE)</f>
        <v>1.2354685150969755</v>
      </c>
      <c r="BY31" s="1009">
        <f t="shared" si="17"/>
        <v>9249</v>
      </c>
      <c r="CA31" t="s">
        <v>83</v>
      </c>
      <c r="CB31">
        <f>VLOOKUP($A31,'Table 2.4.1'!$A$7:$AE$37,31,FALSE)/1000</f>
        <v>16.413421000000003</v>
      </c>
      <c r="CD31" t="s">
        <v>83</v>
      </c>
      <c r="CE31">
        <v>3908</v>
      </c>
      <c r="CG31" t="s">
        <v>83</v>
      </c>
      <c r="CH31" s="93">
        <v>88.0889207358593</v>
      </c>
      <c r="CJ31" t="s">
        <v>83</v>
      </c>
      <c r="CK31" s="270">
        <f>VLOOKUP($A31,'Table 2.2.4c'!$B$7:$S$42,18,FALSE)</f>
        <v>207.651</v>
      </c>
      <c r="CL31" s="270">
        <f>VLOOKUP($A31,'Table 2.2.5'!$A$6:$Y$41,25,FALSE)</f>
        <v>53.746</v>
      </c>
      <c r="CM31" s="270">
        <f>VLOOKUP($A31,'Table 2.2.6'!$B$6:$Z$41,25,FALSE)</f>
        <v>0.161</v>
      </c>
      <c r="CN31" s="270">
        <f>VLOOKUP($A31,'Table 2.2.7'!$B$6:$Z$41,25,FALSE)</f>
        <v>23.461</v>
      </c>
      <c r="CO31" s="270">
        <f t="shared" si="3"/>
        <v>285.019</v>
      </c>
      <c r="CP31" s="431">
        <f t="shared" si="4"/>
        <v>72.85514299046731</v>
      </c>
      <c r="CQ31" s="431">
        <f t="shared" si="5"/>
        <v>18.856988481469656</v>
      </c>
      <c r="CR31" s="431">
        <f t="shared" si="6"/>
        <v>0.056487462239359486</v>
      </c>
      <c r="CS31" s="431">
        <f t="shared" si="7"/>
        <v>8.231381065823681</v>
      </c>
      <c r="CT31" s="1010"/>
    </row>
    <row r="32" spans="1:98" ht="12.75">
      <c r="A32" s="432" t="s">
        <v>93</v>
      </c>
      <c r="B32" t="s">
        <v>11</v>
      </c>
      <c r="C32" s="95">
        <f>VLOOKUP($A32,'Table 1.1'!$B$7:$K$42,4,FALSE)</f>
        <v>10.54184</v>
      </c>
      <c r="E32" t="s">
        <v>11</v>
      </c>
      <c r="F32" s="95">
        <f>VLOOKUP($A32,'Table 1.1'!$B$7:$K$42,2,FALSE)</f>
        <v>92.09</v>
      </c>
      <c r="H32" t="s">
        <v>11</v>
      </c>
      <c r="I32" s="93">
        <f t="shared" si="8"/>
        <v>114.47323270713433</v>
      </c>
      <c r="K32" t="s">
        <v>11</v>
      </c>
      <c r="L32" s="96">
        <f>VLOOKUP($A32,'Table 2.5.1'!$B$6:$Y$41,24,FALSE)</f>
        <v>2737</v>
      </c>
      <c r="N32" t="s">
        <v>11</v>
      </c>
      <c r="O32" s="93">
        <f t="shared" si="9"/>
        <v>29.72092518188728</v>
      </c>
      <c r="Q32" s="98" t="s">
        <v>11</v>
      </c>
      <c r="R32" s="93">
        <f>VLOOKUP($A32,'Table 2.5.2'!$B$8:$I$42,7,FALSE)/1000</f>
        <v>13.123</v>
      </c>
      <c r="S32" s="93">
        <f>VLOOKUP($A32,'Table 2.5.2'!$B$8:$I$42,8,FALSE)/1000</f>
        <v>13.123</v>
      </c>
      <c r="T32" s="93"/>
      <c r="U32" t="s">
        <v>11</v>
      </c>
      <c r="V32" s="96">
        <f t="shared" si="10"/>
        <v>142.5019003149093</v>
      </c>
      <c r="W32" s="96">
        <f t="shared" si="11"/>
        <v>142.5019003149093</v>
      </c>
      <c r="Y32" t="s">
        <v>11</v>
      </c>
      <c r="Z32" s="94">
        <f>VLOOKUP($A32,'Table 2.5.3'!$B$6:$V$41,21,FALSE)</f>
        <v>2793</v>
      </c>
      <c r="AB32" t="s">
        <v>11</v>
      </c>
      <c r="AC32" s="93">
        <f t="shared" si="12"/>
        <v>30.32902595287219</v>
      </c>
      <c r="AE32" t="s">
        <v>11</v>
      </c>
      <c r="AF32" s="95">
        <f>VLOOKUP($A32,'Table 2.6.2'!$A$7:$Y$43,25,FALSE)/1000</f>
        <v>4.712</v>
      </c>
      <c r="AH32" t="s">
        <v>11</v>
      </c>
      <c r="AI32" s="94">
        <f t="shared" si="13"/>
        <v>446.98079272688636</v>
      </c>
      <c r="AK32" t="s">
        <v>11</v>
      </c>
      <c r="AL32" s="94">
        <f>VLOOKUP($A32,'Table 2.6.5'!$B$7:$S$43,18,FALSE)</f>
        <v>497</v>
      </c>
      <c r="AN32" t="s">
        <v>11</v>
      </c>
      <c r="AO32" s="94">
        <f>VLOOKUP($A32,'Table 2.6.4'!$B$7:$Z$43,25,FALSE)</f>
        <v>1335.5</v>
      </c>
      <c r="AQ32" t="s">
        <v>11</v>
      </c>
      <c r="AR32" s="94">
        <f t="shared" si="14"/>
        <v>126.68566398275823</v>
      </c>
      <c r="AT32" s="98" t="s">
        <v>11</v>
      </c>
      <c r="AU32" s="94">
        <f>VLOOKUP($A32,'Table 2.6.6'!$B$6:$Q$41,16,FALSE)</f>
        <v>95.29</v>
      </c>
      <c r="AW32" t="s">
        <v>11</v>
      </c>
      <c r="AX32" s="94">
        <f t="shared" si="0"/>
        <v>9.039218959877973</v>
      </c>
      <c r="AZ32" t="s">
        <v>11</v>
      </c>
      <c r="BA32" s="434">
        <f>VLOOKUP($A32,'Table 2.3.4'!$B$6:$Z$41,25,FALSE)</f>
        <v>83.19008452892002</v>
      </c>
      <c r="BB32" s="431">
        <f t="shared" si="15"/>
        <v>7891</v>
      </c>
      <c r="BC32" t="s">
        <v>11</v>
      </c>
      <c r="BF32" t="s">
        <v>11</v>
      </c>
      <c r="BG32" s="434">
        <f>VLOOKUP(A32,'Table 2.3.5'!$B$6:$Z$41,25,FALSE)</f>
        <v>10.616790296106524</v>
      </c>
      <c r="BH32" s="270">
        <f t="shared" si="16"/>
        <v>1007</v>
      </c>
      <c r="BI32" t="s">
        <v>11</v>
      </c>
      <c r="BJ32" s="434">
        <f>VLOOKUP($A32,'Table 2.3.6'!$B$6:$Z$41,25,FALSE)</f>
        <v>1.148</v>
      </c>
      <c r="BK32" s="439">
        <f t="shared" si="1"/>
        <v>109</v>
      </c>
      <c r="BL32" s="35" t="s">
        <v>11</v>
      </c>
      <c r="BM32" s="434">
        <f>VLOOKUP($A32,'Table 2.3.7'!$B$6:$Z$41,25,FALSE)</f>
        <v>4.143</v>
      </c>
      <c r="BN32" s="439">
        <f t="shared" si="2"/>
        <v>393</v>
      </c>
      <c r="BP32">
        <v>29</v>
      </c>
      <c r="BQ32">
        <v>342</v>
      </c>
      <c r="BS32" t="s">
        <v>11</v>
      </c>
      <c r="BT32" s="991">
        <f>VLOOKUP($A32,'Table 2.3.3'!$B$7:$F$42,2,FALSE)</f>
        <v>83.94739511397765</v>
      </c>
      <c r="BU32" s="991">
        <f>VLOOKUP($A32,'Table 2.3.3'!$B$7:$F$42,3,FALSE)</f>
        <v>10.71343892576122</v>
      </c>
      <c r="BV32" s="991">
        <f>VLOOKUP($A32,'Table 2.3.3'!$B$7:$F$42,4,FALSE)</f>
        <v>4.180715285080676</v>
      </c>
      <c r="BW32" s="991">
        <f>VLOOKUP($A32,'Table 2.3.3'!$B$7:$F$42,5,FALSE)</f>
        <v>1.1584506751804526</v>
      </c>
      <c r="BY32" s="1009">
        <f t="shared" si="17"/>
        <v>9400</v>
      </c>
      <c r="CA32" t="s">
        <v>11</v>
      </c>
      <c r="CB32">
        <f>VLOOKUP($A32,'Table 2.4.1'!$A$7:$AE$37,31,FALSE)/1000</f>
        <v>22.345753000000002</v>
      </c>
      <c r="CD32" t="s">
        <v>11</v>
      </c>
      <c r="CE32">
        <v>937</v>
      </c>
      <c r="CG32" t="s">
        <v>11</v>
      </c>
      <c r="CH32" s="93">
        <v>92.46129185067748</v>
      </c>
      <c r="CJ32" t="s">
        <v>11</v>
      </c>
      <c r="CK32" s="270">
        <f>VLOOKUP($A32,'Table 2.2.4c'!$B$7:$S$42,18,FALSE)</f>
        <v>36.453</v>
      </c>
      <c r="CL32" s="270">
        <f>VLOOKUP($A32,'Table 2.2.5'!$A$6:$Y$41,25,FALSE)</f>
        <v>2.322</v>
      </c>
      <c r="CM32" s="270" t="str">
        <f>VLOOKUP($A32,'Table 2.2.6'!$B$6:$Z$41,25,FALSE)</f>
        <v>-</v>
      </c>
      <c r="CN32" s="270">
        <f>VLOOKUP($A32,'Table 2.2.7'!$B$6:$Z$41,25,FALSE)</f>
        <v>0.36002080123266567</v>
      </c>
      <c r="CO32" s="270">
        <f t="shared" si="3"/>
        <v>39.13502080123267</v>
      </c>
      <c r="CP32" s="431">
        <f t="shared" si="4"/>
        <v>93.14675003022309</v>
      </c>
      <c r="CQ32" s="431">
        <f t="shared" si="5"/>
        <v>5.933304627058898</v>
      </c>
      <c r="CR32" s="431">
        <f t="shared" si="6"/>
        <v>0</v>
      </c>
      <c r="CS32" s="431">
        <f t="shared" si="7"/>
        <v>0.9199453427180132</v>
      </c>
      <c r="CT32" s="1010"/>
    </row>
    <row r="33" spans="1:98" ht="12.75">
      <c r="A33" s="432" t="s">
        <v>103</v>
      </c>
      <c r="B33" t="s">
        <v>105</v>
      </c>
      <c r="C33" s="95">
        <f>VLOOKUP($A33,'Table 1.1'!$B$7:$K$42,4,FALSE)</f>
        <v>21.355849</v>
      </c>
      <c r="E33" t="s">
        <v>105</v>
      </c>
      <c r="F33" s="95">
        <f>VLOOKUP($A33,'Table 1.1'!$B$7:$K$42,2,FALSE)</f>
        <v>238.391</v>
      </c>
      <c r="H33" t="s">
        <v>105</v>
      </c>
      <c r="I33" s="93">
        <f t="shared" si="8"/>
        <v>89.58328544282293</v>
      </c>
      <c r="K33" t="s">
        <v>105</v>
      </c>
      <c r="L33" s="96">
        <f>VLOOKUP($A33,'Table 2.5.1'!$B$6:$Y$41,24,FALSE)</f>
        <v>332</v>
      </c>
      <c r="N33" t="s">
        <v>105</v>
      </c>
      <c r="O33" s="93">
        <f t="shared" si="9"/>
        <v>1.3926700252945792</v>
      </c>
      <c r="Q33" t="s">
        <v>105</v>
      </c>
      <c r="R33" s="93">
        <f>VLOOKUP($A33,'Table 2.5.2'!$B$8:$I$42,7,FALSE)/1000</f>
        <v>51.773</v>
      </c>
      <c r="S33" s="93">
        <f>VLOOKUP($A33,'Table 2.5.2'!$B$8:$I$42,8,FALSE)/1000</f>
        <v>82.386</v>
      </c>
      <c r="T33" s="93"/>
      <c r="U33" t="s">
        <v>105</v>
      </c>
      <c r="V33" s="96">
        <f t="shared" si="10"/>
        <v>217.17682295053086</v>
      </c>
      <c r="W33" s="96">
        <f t="shared" si="11"/>
        <v>345.59190573469635</v>
      </c>
      <c r="Y33" t="s">
        <v>105</v>
      </c>
      <c r="Z33" s="94">
        <f>VLOOKUP($A33,'Table 2.5.3'!$B$6:$V$41,21,FALSE)</f>
        <v>10777</v>
      </c>
      <c r="AB33" t="s">
        <v>105</v>
      </c>
      <c r="AC33" s="93">
        <f t="shared" si="12"/>
        <v>45.207243562047225</v>
      </c>
      <c r="AE33" t="s">
        <v>105</v>
      </c>
      <c r="AF33" s="95">
        <f>VLOOKUP($A33,'Table 2.6.2'!$A$7:$Y$43,25,FALSE)/1000</f>
        <v>4.334547</v>
      </c>
      <c r="AH33" t="s">
        <v>105</v>
      </c>
      <c r="AI33" s="94">
        <f t="shared" si="13"/>
        <v>202.96767410183506</v>
      </c>
      <c r="AK33" t="s">
        <v>105</v>
      </c>
      <c r="AL33" s="94">
        <f>VLOOKUP($A33,'Table 2.6.5'!$B$7:$S$43,18,FALSE)</f>
        <v>90.082</v>
      </c>
      <c r="AN33" t="s">
        <v>105</v>
      </c>
      <c r="AO33" s="94">
        <f>VLOOKUP($A33,'Table 2.6.4'!$B$7:$Z$43,25,FALSE)</f>
        <v>696.26</v>
      </c>
      <c r="AQ33" t="s">
        <v>105</v>
      </c>
      <c r="AR33" s="94">
        <f t="shared" si="14"/>
        <v>32.60277781510817</v>
      </c>
      <c r="AT33" t="s">
        <v>105</v>
      </c>
      <c r="AU33" s="94">
        <f>VLOOKUP($A33,'Table 2.6.6'!$B$6:$Q$41,16,FALSE)</f>
        <v>72.148</v>
      </c>
      <c r="AW33" t="s">
        <v>105</v>
      </c>
      <c r="AX33" s="94">
        <f t="shared" si="0"/>
        <v>3.378371892402873</v>
      </c>
      <c r="AZ33" t="s">
        <v>105</v>
      </c>
      <c r="BA33" s="434">
        <f>VLOOKUP($A33,'Table 2.3.4'!$B$6:$Z$41,25,FALSE)</f>
        <v>74.97833815332045</v>
      </c>
      <c r="BB33" s="431">
        <f t="shared" si="15"/>
        <v>3511</v>
      </c>
      <c r="BC33" t="s">
        <v>105</v>
      </c>
      <c r="BF33" t="s">
        <v>105</v>
      </c>
      <c r="BG33" s="434">
        <f>VLOOKUP(A33,'Table 2.3.5'!$B$6:$Z$41,25,FALSE)</f>
        <v>11.773</v>
      </c>
      <c r="BH33" s="270">
        <f t="shared" si="16"/>
        <v>551</v>
      </c>
      <c r="BI33" t="s">
        <v>105</v>
      </c>
      <c r="BJ33" s="434">
        <f>VLOOKUP($A33,'Table 2.3.6'!$B$6:$Z$41,25,FALSE)</f>
        <v>7.061903365925345</v>
      </c>
      <c r="BK33" s="439">
        <f t="shared" si="1"/>
        <v>331</v>
      </c>
      <c r="BL33" s="35" t="s">
        <v>105</v>
      </c>
      <c r="BM33" s="434">
        <f>VLOOKUP($A33,'Table 2.3.7'!$B$6:$Z$41,25,FALSE)</f>
        <v>5.073</v>
      </c>
      <c r="BN33" s="439">
        <f t="shared" si="2"/>
        <v>238</v>
      </c>
      <c r="BP33" t="s">
        <v>149</v>
      </c>
      <c r="BQ33" t="s">
        <v>149</v>
      </c>
      <c r="BS33" t="s">
        <v>105</v>
      </c>
      <c r="BT33" s="991">
        <f>VLOOKUP($A33,'Table 2.3.3'!$B$7:$F$42,2,FALSE)</f>
        <v>75.82282125539957</v>
      </c>
      <c r="BU33" s="991">
        <f>VLOOKUP($A33,'Table 2.3.3'!$B$7:$F$42,3,FALSE)</f>
        <v>11.905599625513801</v>
      </c>
      <c r="BV33" s="991">
        <f>VLOOKUP($A33,'Table 2.3.3'!$B$7:$F$42,4,FALSE)</f>
        <v>5.130137339695194</v>
      </c>
      <c r="BW33" s="991">
        <f>VLOOKUP($A33,'Table 2.3.3'!$B$7:$F$42,5,FALSE)</f>
        <v>7.1414417793914415</v>
      </c>
      <c r="BY33" s="1009">
        <f t="shared" si="17"/>
        <v>4631</v>
      </c>
      <c r="CA33" t="s">
        <v>105</v>
      </c>
      <c r="CB33">
        <f>VLOOKUP($A33,'Table 2.4.1'!$A$7:$AE$37,31,FALSE)/1000</f>
        <v>8.612733000000002</v>
      </c>
      <c r="CD33" t="s">
        <v>105</v>
      </c>
      <c r="CE33">
        <v>2377</v>
      </c>
      <c r="CG33" t="s">
        <v>105</v>
      </c>
      <c r="CH33" s="93">
        <v>97.77358776592285</v>
      </c>
      <c r="CJ33" t="s">
        <v>105</v>
      </c>
      <c r="CK33" s="270">
        <f>VLOOKUP($A33,'Table 2.2.4c'!$B$7:$S$42,18,FALSE)</f>
        <v>26.349</v>
      </c>
      <c r="CL33" s="270">
        <f>VLOOKUP($A33,'Table 2.2.5'!$A$6:$Y$41,25,FALSE)</f>
        <v>14.719</v>
      </c>
      <c r="CM33" s="270">
        <f>VLOOKUP($A33,'Table 2.2.6'!$B$6:$Z$41,25,FALSE)</f>
        <v>11.409</v>
      </c>
      <c r="CN33" s="270">
        <f>VLOOKUP($A33,'Table 2.2.7'!$B$6:$Z$41,25,FALSE)</f>
        <v>1.1195</v>
      </c>
      <c r="CO33" s="270">
        <f t="shared" si="3"/>
        <v>53.5965</v>
      </c>
      <c r="CP33" s="431">
        <f t="shared" si="4"/>
        <v>49.16179228121239</v>
      </c>
      <c r="CQ33" s="431">
        <f t="shared" si="5"/>
        <v>27.462614163238268</v>
      </c>
      <c r="CR33" s="431">
        <f t="shared" si="6"/>
        <v>21.286837759928357</v>
      </c>
      <c r="CS33" s="431">
        <f t="shared" si="7"/>
        <v>2.0887557956209823</v>
      </c>
      <c r="CT33" s="1010"/>
    </row>
    <row r="34" spans="1:98" ht="12.75">
      <c r="A34" s="432" t="s">
        <v>89</v>
      </c>
      <c r="B34" t="s">
        <v>12</v>
      </c>
      <c r="C34" s="95">
        <f>VLOOKUP($A34,'Table 1.1'!$B$7:$K$42,4,FALSE)</f>
        <v>9.482855</v>
      </c>
      <c r="E34" t="s">
        <v>12</v>
      </c>
      <c r="F34" s="95">
        <f>VLOOKUP($A34,'Table 1.1'!$B$7:$K$42,2,FALSE)</f>
        <v>450.295</v>
      </c>
      <c r="H34" t="s">
        <v>12</v>
      </c>
      <c r="I34" s="93">
        <f t="shared" si="8"/>
        <v>21.059205631863556</v>
      </c>
      <c r="K34" t="s">
        <v>12</v>
      </c>
      <c r="L34" s="96">
        <f>VLOOKUP($A34,'Table 2.5.1'!$B$6:$Y$41,24,FALSE)</f>
        <v>1927</v>
      </c>
      <c r="N34" t="s">
        <v>12</v>
      </c>
      <c r="O34" s="93">
        <f t="shared" si="9"/>
        <v>4.27941682674691</v>
      </c>
      <c r="Q34" s="98" t="s">
        <v>12</v>
      </c>
      <c r="R34" s="93">
        <f>VLOOKUP($A34,'Table 2.5.2'!$B$8:$I$42,7,FALSE)/1000</f>
        <v>98.465</v>
      </c>
      <c r="S34" s="93">
        <f>VLOOKUP($A34,'Table 2.5.2'!$B$8:$I$42,8,FALSE)/1000</f>
        <v>215.952</v>
      </c>
      <c r="T34" s="93"/>
      <c r="U34" t="s">
        <v>12</v>
      </c>
      <c r="V34" s="96">
        <f t="shared" si="10"/>
        <v>218.66776224475066</v>
      </c>
      <c r="W34" s="96">
        <f t="shared" si="11"/>
        <v>479.5789426931234</v>
      </c>
      <c r="Y34" t="s">
        <v>12</v>
      </c>
      <c r="Z34" s="94">
        <f>VLOOKUP($A34,'Table 2.5.3'!$B$6:$V$41,21,FALSE)</f>
        <v>11212.82</v>
      </c>
      <c r="AB34" t="s">
        <v>12</v>
      </c>
      <c r="AC34" s="93">
        <f t="shared" si="12"/>
        <v>24.901053753650384</v>
      </c>
      <c r="AE34" t="s">
        <v>12</v>
      </c>
      <c r="AF34" s="95">
        <f>VLOOKUP($A34,'Table 2.6.2'!$A$7:$Y$43,25,FALSE)/1000</f>
        <v>4.401352</v>
      </c>
      <c r="AH34" t="s">
        <v>12</v>
      </c>
      <c r="AI34" s="94">
        <f t="shared" si="13"/>
        <v>464.1378572170512</v>
      </c>
      <c r="AK34" t="s">
        <v>12</v>
      </c>
      <c r="AL34" s="94">
        <f>VLOOKUP($A34,'Table 2.6.5'!$B$7:$S$43,18,FALSE)</f>
        <v>578.495</v>
      </c>
      <c r="AN34" t="s">
        <v>12</v>
      </c>
      <c r="AO34" s="94">
        <f>VLOOKUP($A34,'Table 2.6.4'!$B$7:$Z$43,25,FALSE)</f>
        <v>548.272</v>
      </c>
      <c r="AQ34" t="s">
        <v>12</v>
      </c>
      <c r="AR34" s="94">
        <f t="shared" si="14"/>
        <v>57.8171869125912</v>
      </c>
      <c r="AT34" s="98" t="s">
        <v>12</v>
      </c>
      <c r="AU34" s="94">
        <f>VLOOKUP($A34,'Table 2.6.6'!$B$6:$Q$41,16,FALSE)</f>
        <v>279.478</v>
      </c>
      <c r="AW34" t="s">
        <v>12</v>
      </c>
      <c r="AX34" s="94">
        <f t="shared" si="0"/>
        <v>29.471925912607542</v>
      </c>
      <c r="AZ34" t="s">
        <v>12</v>
      </c>
      <c r="BA34" s="434">
        <f>VLOOKUP($A34,'Table 2.3.4'!$B$6:$Z$41,25,FALSE)</f>
        <v>109.1978</v>
      </c>
      <c r="BB34" s="431">
        <f t="shared" si="15"/>
        <v>11515</v>
      </c>
      <c r="BC34" t="s">
        <v>12</v>
      </c>
      <c r="BF34" t="s">
        <v>12</v>
      </c>
      <c r="BG34" s="434">
        <f>VLOOKUP(A34,'Table 2.3.5'!$B$6:$Z$41,25,FALSE)</f>
        <v>8.73</v>
      </c>
      <c r="BH34" s="270">
        <f t="shared" si="16"/>
        <v>921</v>
      </c>
      <c r="BI34" t="s">
        <v>12</v>
      </c>
      <c r="BJ34" s="434">
        <f>VLOOKUP($A34,'Table 2.3.6'!$B$6:$Z$41,25,FALSE)</f>
        <v>2.34</v>
      </c>
      <c r="BK34" s="439">
        <f t="shared" si="1"/>
        <v>247</v>
      </c>
      <c r="BL34" s="35" t="s">
        <v>12</v>
      </c>
      <c r="BM34" s="434">
        <f>VLOOKUP($A34,'Table 2.3.7'!$B$6:$Z$41,25,FALSE)</f>
        <v>11.378</v>
      </c>
      <c r="BN34" s="439">
        <f t="shared" si="2"/>
        <v>1200</v>
      </c>
      <c r="BP34">
        <v>271</v>
      </c>
      <c r="BQ34">
        <v>383</v>
      </c>
      <c r="BS34" t="s">
        <v>12</v>
      </c>
      <c r="BT34" s="991">
        <f>VLOOKUP($A34,'Table 2.3.3'!$B$7:$F$42,2,FALSE)</f>
        <v>82.9481836868324</v>
      </c>
      <c r="BU34" s="991">
        <f>VLOOKUP($A34,'Table 2.3.3'!$B$7:$F$42,3,FALSE)</f>
        <v>6.6314307026885775</v>
      </c>
      <c r="BV34" s="991">
        <f>VLOOKUP($A34,'Table 2.3.3'!$B$7:$F$42,4,FALSE)</f>
        <v>8.642888721098583</v>
      </c>
      <c r="BW34" s="991">
        <f>VLOOKUP($A34,'Table 2.3.3'!$B$7:$F$42,5,FALSE)</f>
        <v>1.7774968893804435</v>
      </c>
      <c r="BY34" s="1009">
        <f t="shared" si="17"/>
        <v>13883</v>
      </c>
      <c r="CA34" t="s">
        <v>12</v>
      </c>
      <c r="CB34">
        <f>VLOOKUP($A34,'Table 2.4.1'!$A$7:$AE$37,31,FALSE)/1000</f>
        <v>24.174938</v>
      </c>
      <c r="CD34" t="s">
        <v>12</v>
      </c>
      <c r="CE34">
        <v>266</v>
      </c>
      <c r="CG34" t="s">
        <v>12</v>
      </c>
      <c r="CH34" s="93">
        <v>102.30356583162471</v>
      </c>
      <c r="CJ34" t="s">
        <v>12</v>
      </c>
      <c r="CK34" s="270">
        <f>VLOOKUP($A34,'Table 2.2.4c'!$B$7:$S$42,18,FALSE)</f>
        <v>36.932</v>
      </c>
      <c r="CL34" s="270">
        <f>VLOOKUP($A34,'Table 2.2.5'!$A$6:$Y$41,25,FALSE)</f>
        <v>22.864</v>
      </c>
      <c r="CM34" s="270" t="str">
        <f>VLOOKUP($A34,'Table 2.2.6'!$B$6:$Z$41,25,FALSE)</f>
        <v>-</v>
      </c>
      <c r="CN34" s="270" t="str">
        <f>VLOOKUP($A34,'Table 2.2.7'!$B$6:$Z$41,25,FALSE)</f>
        <v>-</v>
      </c>
      <c r="CO34" s="270">
        <f t="shared" si="3"/>
        <v>59.79600000000001</v>
      </c>
      <c r="CP34" s="431">
        <f t="shared" si="4"/>
        <v>61.76332865074587</v>
      </c>
      <c r="CQ34" s="431">
        <f t="shared" si="5"/>
        <v>38.23667134925413</v>
      </c>
      <c r="CR34" s="431">
        <f t="shared" si="6"/>
        <v>0</v>
      </c>
      <c r="CS34" s="431">
        <f t="shared" si="7"/>
        <v>0</v>
      </c>
      <c r="CT34" s="1010"/>
    </row>
    <row r="35" spans="1:98" ht="12.75">
      <c r="A35" s="432" t="s">
        <v>84</v>
      </c>
      <c r="B35" t="s">
        <v>85</v>
      </c>
      <c r="C35" s="95">
        <f>VLOOKUP($A35,'Table 1.1'!$B$7:$K$42,4,FALSE)</f>
        <v>2.055496</v>
      </c>
      <c r="E35" t="s">
        <v>85</v>
      </c>
      <c r="F35" s="95">
        <f>VLOOKUP($A35,'Table 1.1'!$B$7:$K$42,2,FALSE)</f>
        <v>20.273</v>
      </c>
      <c r="H35" t="s">
        <v>85</v>
      </c>
      <c r="I35" s="93">
        <f t="shared" si="8"/>
        <v>101.39081537019683</v>
      </c>
      <c r="K35" t="s">
        <v>85</v>
      </c>
      <c r="L35" s="96">
        <f>VLOOKUP($A35,'Table 2.5.1'!$B$6:$Y$41,24,FALSE)</f>
        <v>771</v>
      </c>
      <c r="N35" t="s">
        <v>85</v>
      </c>
      <c r="O35" s="93">
        <f t="shared" si="9"/>
        <v>38.03087850836087</v>
      </c>
      <c r="Q35" t="s">
        <v>85</v>
      </c>
      <c r="R35" s="93">
        <f>VLOOKUP($A35,'Table 2.5.2'!$B$8:$I$42,7,FALSE)/1000</f>
        <v>6.7311</v>
      </c>
      <c r="S35" s="93">
        <f>VLOOKUP($A35,'Table 2.5.2'!$B$8:$I$42,8,FALSE)/1000</f>
        <v>39.072900000000004</v>
      </c>
      <c r="T35" s="93"/>
      <c r="U35" t="s">
        <v>85</v>
      </c>
      <c r="V35" s="96">
        <f t="shared" si="10"/>
        <v>332.02288758447196</v>
      </c>
      <c r="W35" s="96">
        <f t="shared" si="11"/>
        <v>1927.3368519706016</v>
      </c>
      <c r="Y35" t="s">
        <v>85</v>
      </c>
      <c r="Z35" s="94">
        <f>VLOOKUP($A35,'Table 2.5.3'!$B$6:$V$41,21,FALSE)</f>
        <v>1209</v>
      </c>
      <c r="AB35" t="s">
        <v>85</v>
      </c>
      <c r="AC35" s="93">
        <f t="shared" si="12"/>
        <v>59.63596902283826</v>
      </c>
      <c r="AE35" t="s">
        <v>85</v>
      </c>
      <c r="AF35" s="95">
        <f>VLOOKUP($A35,'Table 2.6.2'!$A$7:$Y$43,25,FALSE)/1000</f>
        <v>1.06649</v>
      </c>
      <c r="AH35" t="s">
        <v>85</v>
      </c>
      <c r="AI35" s="94">
        <f t="shared" si="13"/>
        <v>518.8480055422145</v>
      </c>
      <c r="AK35" t="s">
        <v>85</v>
      </c>
      <c r="AL35" s="94">
        <f>VLOOKUP($A35,'Table 2.6.5'!$B$7:$S$43,18,FALSE)</f>
        <v>92.18299999999999</v>
      </c>
      <c r="AN35" t="s">
        <v>85</v>
      </c>
      <c r="AO35" s="94">
        <f>VLOOKUP($A35,'Table 2.6.4'!$B$7:$Z$43,25,FALSE)</f>
        <v>84.644</v>
      </c>
      <c r="AQ35" t="s">
        <v>85</v>
      </c>
      <c r="AR35" s="94">
        <f t="shared" si="14"/>
        <v>41.17935525050888</v>
      </c>
      <c r="AT35" t="s">
        <v>85</v>
      </c>
      <c r="AU35" s="94">
        <f>VLOOKUP($A35,'Table 2.6.6'!$B$6:$Q$41,16,FALSE)</f>
        <v>50.091</v>
      </c>
      <c r="AW35" t="s">
        <v>85</v>
      </c>
      <c r="AX35" s="94">
        <f t="shared" si="0"/>
        <v>24.36930064568357</v>
      </c>
      <c r="AZ35" t="s">
        <v>85</v>
      </c>
      <c r="BA35" s="434">
        <f>VLOOKUP($A35,'Table 2.3.4'!$B$6:$Z$41,25,FALSE)</f>
        <v>25.487436219641157</v>
      </c>
      <c r="BB35" s="431">
        <f t="shared" si="15"/>
        <v>12400</v>
      </c>
      <c r="BC35" t="s">
        <v>85</v>
      </c>
      <c r="BF35" t="s">
        <v>85</v>
      </c>
      <c r="BG35" s="434">
        <f>VLOOKUP(A35,'Table 2.3.5'!$B$6:$Z$41,25,FALSE)</f>
        <v>3.244143134443557</v>
      </c>
      <c r="BH35" s="270">
        <f t="shared" si="16"/>
        <v>1578</v>
      </c>
      <c r="BI35" t="s">
        <v>85</v>
      </c>
      <c r="BJ35" s="434">
        <f>VLOOKUP($A35,'Table 2.3.6'!$B$6:$Z$41,25,FALSE)</f>
        <v>0</v>
      </c>
      <c r="BK35" s="439">
        <f t="shared" si="1"/>
        <v>0</v>
      </c>
      <c r="BL35" s="35" t="s">
        <v>85</v>
      </c>
      <c r="BM35" s="434">
        <f>VLOOKUP($A35,'Table 2.3.7'!$B$6:$Z$41,25,FALSE)</f>
        <v>0.773</v>
      </c>
      <c r="BN35" s="439">
        <f t="shared" si="2"/>
        <v>376</v>
      </c>
      <c r="BP35" t="s">
        <v>149</v>
      </c>
      <c r="BQ35" t="s">
        <v>149</v>
      </c>
      <c r="BS35" t="s">
        <v>85</v>
      </c>
      <c r="BT35" s="991">
        <f>VLOOKUP($A35,'Table 2.3.3'!$B$7:$F$42,2,FALSE)</f>
        <v>86.38467918408939</v>
      </c>
      <c r="BU35" s="991">
        <f>VLOOKUP($A35,'Table 2.3.3'!$B$7:$F$42,3,FALSE)</f>
        <v>10.995388531083826</v>
      </c>
      <c r="BV35" s="991">
        <f>VLOOKUP($A35,'Table 2.3.3'!$B$7:$F$42,4,FALSE)</f>
        <v>2.619932284826773</v>
      </c>
      <c r="BW35" s="991" t="str">
        <f>VLOOKUP($A35,'Table 2.3.3'!$B$7:$F$42,5,FALSE)</f>
        <v>-</v>
      </c>
      <c r="BY35" s="1009">
        <f t="shared" si="17"/>
        <v>14354</v>
      </c>
      <c r="CA35" t="s">
        <v>85</v>
      </c>
      <c r="CB35">
        <f>VLOOKUP($A35,'Table 2.4.1'!$A$7:$AE$37,31,FALSE)/1000</f>
        <v>0.8058559999999999</v>
      </c>
      <c r="CD35" t="s">
        <v>85</v>
      </c>
      <c r="CE35">
        <v>138</v>
      </c>
      <c r="CG35" t="s">
        <v>85</v>
      </c>
      <c r="CH35" s="93">
        <v>103.3995534631655</v>
      </c>
      <c r="CJ35" t="s">
        <v>85</v>
      </c>
      <c r="CK35" s="270">
        <f>VLOOKUP($A35,'Table 2.2.4c'!$B$7:$S$42,18,FALSE)</f>
        <v>16.439</v>
      </c>
      <c r="CL35" s="270">
        <f>VLOOKUP($A35,'Table 2.2.5'!$A$6:$Y$41,25,FALSE)</f>
        <v>3.752</v>
      </c>
      <c r="CM35" s="270" t="str">
        <f>VLOOKUP($A35,'Table 2.2.6'!$B$6:$Z$41,25,FALSE)</f>
        <v>-</v>
      </c>
      <c r="CN35" s="270" t="str">
        <f>VLOOKUP($A35,'Table 2.2.7'!$B$6:$Z$41,25,FALSE)</f>
        <v>-</v>
      </c>
      <c r="CO35" s="270">
        <f t="shared" si="3"/>
        <v>20.191</v>
      </c>
      <c r="CP35" s="431">
        <f t="shared" si="4"/>
        <v>81.4174632261899</v>
      </c>
      <c r="CQ35" s="431">
        <f t="shared" si="5"/>
        <v>18.582536773810112</v>
      </c>
      <c r="CR35" s="431">
        <f t="shared" si="6"/>
        <v>0</v>
      </c>
      <c r="CS35" s="431">
        <f t="shared" si="7"/>
        <v>0</v>
      </c>
      <c r="CT35" s="1010"/>
    </row>
    <row r="36" spans="1:98" ht="12.75">
      <c r="A36" s="432" t="s">
        <v>86</v>
      </c>
      <c r="B36" t="s">
        <v>87</v>
      </c>
      <c r="C36" s="95">
        <f>VLOOKUP($A36,'Table 1.1'!$B$7:$K$42,4,FALSE)</f>
        <v>5.404322</v>
      </c>
      <c r="E36" t="s">
        <v>87</v>
      </c>
      <c r="F36" s="95">
        <f>VLOOKUP($A36,'Table 1.1'!$B$7:$K$42,2,FALSE)</f>
        <v>49.035</v>
      </c>
      <c r="H36" t="s">
        <v>87</v>
      </c>
      <c r="I36" s="93">
        <f t="shared" si="8"/>
        <v>110.21356174161313</v>
      </c>
      <c r="K36" t="s">
        <v>87</v>
      </c>
      <c r="L36" s="96">
        <f>VLOOKUP($A36,'Table 2.5.1'!$B$6:$Y$41,24,FALSE)</f>
        <v>415.7</v>
      </c>
      <c r="N36" t="s">
        <v>87</v>
      </c>
      <c r="O36" s="93">
        <f t="shared" si="9"/>
        <v>8.477618027939227</v>
      </c>
      <c r="Q36" t="s">
        <v>87</v>
      </c>
      <c r="R36" s="93">
        <f>VLOOKUP($A36,'Table 2.5.2'!$B$8:$I$42,7,FALSE)/1000</f>
        <v>17.974283</v>
      </c>
      <c r="S36" s="93">
        <f>VLOOKUP($A36,'Table 2.5.2'!$B$8:$I$42,8,FALSE)/1000</f>
        <v>43.325183</v>
      </c>
      <c r="T36" s="93"/>
      <c r="U36" t="s">
        <v>87</v>
      </c>
      <c r="V36" s="96">
        <f t="shared" si="10"/>
        <v>366.56027327419196</v>
      </c>
      <c r="W36" s="96">
        <f t="shared" si="11"/>
        <v>883.5562965228919</v>
      </c>
      <c r="Y36" t="s">
        <v>87</v>
      </c>
      <c r="Z36" s="94">
        <f>VLOOKUP($A36,'Table 2.5.3'!$B$6:$V$41,21,FALSE)</f>
        <v>3624</v>
      </c>
      <c r="AB36" t="s">
        <v>87</v>
      </c>
      <c r="AC36" s="93">
        <f t="shared" si="12"/>
        <v>73.90639339247477</v>
      </c>
      <c r="AE36" t="s">
        <v>87</v>
      </c>
      <c r="AF36" s="95">
        <f>VLOOKUP($A36,'Table 2.6.2'!$A$7:$Y$43,25,FALSE)/1000</f>
        <v>1.7492999999999999</v>
      </c>
      <c r="AH36" t="s">
        <v>87</v>
      </c>
      <c r="AI36" s="94">
        <f t="shared" si="13"/>
        <v>323.6853762599638</v>
      </c>
      <c r="AK36" t="s">
        <v>87</v>
      </c>
      <c r="AL36" s="94">
        <f>VLOOKUP($A36,'Table 2.6.5'!$B$7:$S$43,18,FALSE)</f>
        <v>63.859</v>
      </c>
      <c r="AN36" t="s">
        <v>87</v>
      </c>
      <c r="AO36" s="94">
        <f>VLOOKUP($A36,'Table 2.6.4'!$B$7:$Z$43,25,FALSE)</f>
        <v>281.81100000000004</v>
      </c>
      <c r="AQ36" t="s">
        <v>87</v>
      </c>
      <c r="AR36" s="94">
        <f t="shared" si="14"/>
        <v>52.145486519863184</v>
      </c>
      <c r="AT36" t="s">
        <v>87</v>
      </c>
      <c r="AU36" s="94">
        <f>VLOOKUP($A36,'Table 2.6.6'!$B$6:$Q$41,16,FALSE)</f>
        <v>69.195</v>
      </c>
      <c r="AW36" t="s">
        <v>87</v>
      </c>
      <c r="AX36" s="94">
        <f t="shared" si="0"/>
        <v>12.803641233812492</v>
      </c>
      <c r="AZ36" t="s">
        <v>87</v>
      </c>
      <c r="BA36" s="434">
        <f>VLOOKUP($A36,'Table 2.3.4'!$B$6:$Z$41,25,FALSE)</f>
        <v>26.887</v>
      </c>
      <c r="BB36" s="431">
        <f t="shared" si="15"/>
        <v>4975</v>
      </c>
      <c r="BC36" t="s">
        <v>87</v>
      </c>
      <c r="BF36" t="s">
        <v>87</v>
      </c>
      <c r="BG36" s="434">
        <f>VLOOKUP(A36,'Table 2.3.5'!$B$6:$Z$41,25,FALSE)</f>
        <v>5.47648</v>
      </c>
      <c r="BH36" s="270">
        <f t="shared" si="16"/>
        <v>1013</v>
      </c>
      <c r="BI36" t="s">
        <v>87</v>
      </c>
      <c r="BJ36" s="434">
        <f>VLOOKUP($A36,'Table 2.3.6'!$B$6:$Z$41,25,FALSE)</f>
        <v>0.30680142</v>
      </c>
      <c r="BK36" s="439">
        <f t="shared" si="1"/>
        <v>57</v>
      </c>
      <c r="BL36" s="35" t="s">
        <v>87</v>
      </c>
      <c r="BM36" s="434">
        <f>VLOOKUP($A36,'Table 2.3.7'!$B$6:$Z$41,25,FALSE)</f>
        <v>2.431</v>
      </c>
      <c r="BN36" s="439">
        <f t="shared" si="2"/>
        <v>450</v>
      </c>
      <c r="BP36" t="s">
        <v>149</v>
      </c>
      <c r="BQ36" t="s">
        <v>149</v>
      </c>
      <c r="BS36" t="s">
        <v>87</v>
      </c>
      <c r="BT36" s="991">
        <f>VLOOKUP($A36,'Table 2.3.3'!$B$7:$F$42,2,FALSE)</f>
        <v>76.59834317239579</v>
      </c>
      <c r="BU36" s="991">
        <f>VLOOKUP($A36,'Table 2.3.3'!$B$7:$F$42,3,FALSE)</f>
        <v>15.60193753177231</v>
      </c>
      <c r="BV36" s="991">
        <f>VLOOKUP($A36,'Table 2.3.3'!$B$7:$F$42,4,FALSE)</f>
        <v>6.925673085583894</v>
      </c>
      <c r="BW36" s="991">
        <f>VLOOKUP($A36,'Table 2.3.3'!$B$7:$F$42,5,FALSE)</f>
        <v>0.8740462102480133</v>
      </c>
      <c r="BY36" s="1009">
        <f t="shared" si="17"/>
        <v>6495</v>
      </c>
      <c r="CA36" t="s">
        <v>87</v>
      </c>
      <c r="CB36">
        <f>VLOOKUP($A36,'Table 2.4.1'!$A$7:$AE$37,31,FALSE)/1000</f>
        <v>1.46875</v>
      </c>
      <c r="CD36" t="s">
        <v>87</v>
      </c>
      <c r="CE36">
        <v>371</v>
      </c>
      <c r="CG36" t="s">
        <v>87</v>
      </c>
      <c r="CH36" s="93">
        <v>111.00310710632365</v>
      </c>
      <c r="CJ36" t="s">
        <v>87</v>
      </c>
      <c r="CK36" s="270">
        <f>VLOOKUP($A36,'Table 2.2.4c'!$B$7:$S$42,18,FALSE)</f>
        <v>29.179</v>
      </c>
      <c r="CL36" s="270">
        <f>VLOOKUP($A36,'Table 2.2.5'!$A$6:$Y$41,25,FALSE)</f>
        <v>7.96</v>
      </c>
      <c r="CM36" s="270">
        <f>VLOOKUP($A36,'Table 2.2.6'!$B$6:$Z$41,25,FALSE)</f>
        <v>0.931</v>
      </c>
      <c r="CN36" s="270">
        <f>VLOOKUP($A36,'Table 2.2.7'!$B$6:$Z$41,25,FALSE)</f>
        <v>4.96</v>
      </c>
      <c r="CO36" s="270">
        <f t="shared" si="3"/>
        <v>43.029999999999994</v>
      </c>
      <c r="CP36" s="431">
        <f t="shared" si="4"/>
        <v>67.81082965372995</v>
      </c>
      <c r="CQ36" s="431">
        <f t="shared" si="5"/>
        <v>18.498721821984663</v>
      </c>
      <c r="CR36" s="431">
        <f t="shared" si="6"/>
        <v>2.1636067859632817</v>
      </c>
      <c r="CS36" s="431">
        <f t="shared" si="7"/>
        <v>11.526841738322103</v>
      </c>
      <c r="CT36" s="1010"/>
    </row>
    <row r="37" spans="1:98" ht="12.75">
      <c r="A37" s="432" t="s">
        <v>13</v>
      </c>
      <c r="B37" t="s">
        <v>13</v>
      </c>
      <c r="C37" s="95">
        <f>VLOOKUP($A37,'Table 1.1'!$B$7:$K$42,4,FALSE)</f>
        <v>62.98955</v>
      </c>
      <c r="E37" t="s">
        <v>13</v>
      </c>
      <c r="F37" s="95">
        <f>VLOOKUP($A37,'Table 1.1'!$B$7:$K$42,2,FALSE)</f>
        <v>243.82</v>
      </c>
      <c r="H37" t="s">
        <v>13</v>
      </c>
      <c r="I37" s="93">
        <f t="shared" si="8"/>
        <v>258.3444754326963</v>
      </c>
      <c r="K37" t="s">
        <v>13</v>
      </c>
      <c r="L37" s="96">
        <f>VLOOKUP($A37,'Table 2.5.1'!$B$6:$Y$41,24,FALSE)</f>
        <v>3673</v>
      </c>
      <c r="N37" t="s">
        <v>13</v>
      </c>
      <c r="O37" s="93">
        <f t="shared" si="9"/>
        <v>15.064391764416373</v>
      </c>
      <c r="Q37" s="98" t="s">
        <v>13</v>
      </c>
      <c r="R37" s="93">
        <f>VLOOKUP($A37,'Table 2.5.2'!$B$8:$I$42,7,FALSE)/1000</f>
        <v>175.317</v>
      </c>
      <c r="S37" s="93">
        <f>VLOOKUP($A37,'Table 2.5.2'!$B$8:$I$42,8,FALSE)/1000</f>
        <v>419.6275</v>
      </c>
      <c r="T37" s="93"/>
      <c r="U37" t="s">
        <v>13</v>
      </c>
      <c r="V37" s="96">
        <f t="shared" si="10"/>
        <v>719.0427364449184</v>
      </c>
      <c r="W37" s="96">
        <f t="shared" si="11"/>
        <v>1721.0544664096465</v>
      </c>
      <c r="Y37" t="s">
        <v>13</v>
      </c>
      <c r="Z37" s="94">
        <f>VLOOKUP($A37,'Table 2.5.3'!$B$6:$V$41,21,FALSE)</f>
        <v>16134</v>
      </c>
      <c r="AB37" t="s">
        <v>13</v>
      </c>
      <c r="AC37" s="93">
        <f t="shared" si="12"/>
        <v>66.17176605692724</v>
      </c>
      <c r="AE37" t="s">
        <v>13</v>
      </c>
      <c r="AF37" s="95">
        <f>VLOOKUP($A37,'Table 2.6.2'!$A$7:$Y$43,25,FALSE)/1000</f>
        <v>29.382213999999998</v>
      </c>
      <c r="AH37" t="s">
        <v>13</v>
      </c>
      <c r="AI37" s="94">
        <f t="shared" si="13"/>
        <v>466.4617226190693</v>
      </c>
      <c r="AK37" t="s">
        <v>13</v>
      </c>
      <c r="AL37" s="94">
        <f>VLOOKUP($A37,'Table 2.6.5'!$B$7:$S$43,18,FALSE)</f>
        <v>1266.836</v>
      </c>
      <c r="AN37" t="s">
        <v>13</v>
      </c>
      <c r="AO37" s="94">
        <f>VLOOKUP($A37,'Table 2.6.4'!$B$7:$Z$43,25,FALSE)</f>
        <v>3833.235</v>
      </c>
      <c r="AQ37" t="s">
        <v>13</v>
      </c>
      <c r="AR37" s="94">
        <f t="shared" si="14"/>
        <v>60.85509421800918</v>
      </c>
      <c r="AT37" s="98" t="s">
        <v>13</v>
      </c>
      <c r="AU37" s="94">
        <f>VLOOKUP($A37,'Table 2.6.6'!$B$6:$Q$41,16,FALSE)</f>
        <v>2044.609</v>
      </c>
      <c r="AV37" s="94"/>
      <c r="AW37" t="s">
        <v>13</v>
      </c>
      <c r="AX37" s="94">
        <f t="shared" si="0"/>
        <v>32.45949526548451</v>
      </c>
      <c r="AZ37" t="s">
        <v>13</v>
      </c>
      <c r="BA37" s="434">
        <f>VLOOKUP($A37,'Table 2.3.4'!$B$6:$Z$41,25,FALSE)</f>
        <v>655.0819990212615</v>
      </c>
      <c r="BB37" s="431">
        <f t="shared" si="15"/>
        <v>10400</v>
      </c>
      <c r="BC37" t="s">
        <v>13</v>
      </c>
      <c r="BF37" t="s">
        <v>13</v>
      </c>
      <c r="BG37" s="434">
        <f>VLOOKUP(A37,'Table 2.3.5'!$B$6:$Z$41,25,FALSE)</f>
        <v>44.9</v>
      </c>
      <c r="BH37" s="270">
        <f t="shared" si="16"/>
        <v>713</v>
      </c>
      <c r="BI37" t="s">
        <v>13</v>
      </c>
      <c r="BJ37" s="434">
        <f>VLOOKUP($A37,'Table 2.3.6'!$B$6:$Z$41,25,FALSE)</f>
        <v>10.887422698</v>
      </c>
      <c r="BK37" s="439">
        <f t="shared" si="1"/>
        <v>173</v>
      </c>
      <c r="BL37" s="35" t="s">
        <v>13</v>
      </c>
      <c r="BM37" s="434">
        <f>VLOOKUP($A37,'Table 2.3.7'!$B$6:$Z$41,25,FALSE)</f>
        <v>56.617</v>
      </c>
      <c r="BN37" s="439">
        <f t="shared" si="2"/>
        <v>899</v>
      </c>
      <c r="BP37">
        <v>75</v>
      </c>
      <c r="BQ37">
        <v>355</v>
      </c>
      <c r="BS37" t="s">
        <v>13</v>
      </c>
      <c r="BT37" s="991">
        <f>VLOOKUP($A37,'Table 2.3.3'!$B$7:$F$42,2,FALSE)</f>
        <v>85.3542135056669</v>
      </c>
      <c r="BU37" s="991">
        <f>VLOOKUP($A37,'Table 2.3.3'!$B$7:$F$42,3,FALSE)</f>
        <v>5.850266366852279</v>
      </c>
      <c r="BV37" s="991">
        <f>VLOOKUP($A37,'Table 2.3.3'!$B$7:$F$42,4,FALSE)</f>
        <v>7.376938327217716</v>
      </c>
      <c r="BW37" s="991">
        <f>VLOOKUP($A37,'Table 2.3.3'!$B$7:$F$42,5,FALSE)</f>
        <v>1.418581800263107</v>
      </c>
      <c r="BY37" s="1009">
        <f t="shared" si="17"/>
        <v>12185</v>
      </c>
      <c r="CA37" t="s">
        <v>13</v>
      </c>
      <c r="CB37">
        <f>VLOOKUP($A37,'Table 2.4.1'!$A$7:$AE$37,31,FALSE)/1000</f>
        <v>135.632501</v>
      </c>
      <c r="CD37" t="s">
        <v>13</v>
      </c>
      <c r="CE37">
        <v>1905</v>
      </c>
      <c r="CG37" t="s">
        <v>13</v>
      </c>
      <c r="CH37" s="93">
        <v>111.23013187136739</v>
      </c>
      <c r="CJ37" t="s">
        <v>13</v>
      </c>
      <c r="CK37" s="270">
        <f>VLOOKUP($A37,'Table 2.2.4c'!$B$7:$S$42,18,FALSE)</f>
        <v>152.994</v>
      </c>
      <c r="CL37" s="270">
        <f>VLOOKUP($A37,'Table 2.2.5'!$A$6:$Y$41,25,FALSE)</f>
        <v>20.974</v>
      </c>
      <c r="CM37" s="270">
        <f>VLOOKUP($A37,'Table 2.2.6'!$B$6:$Z$41,25,FALSE)</f>
        <v>0.14</v>
      </c>
      <c r="CN37" s="270">
        <f>VLOOKUP($A37,'Table 2.2.7'!$B$6:$Z$41,25,FALSE)</f>
        <v>10.1</v>
      </c>
      <c r="CO37" s="270">
        <f t="shared" si="3"/>
        <v>184.20799999999997</v>
      </c>
      <c r="CP37" s="431">
        <f t="shared" si="4"/>
        <v>83.05502475462522</v>
      </c>
      <c r="CQ37" s="431">
        <f t="shared" si="5"/>
        <v>11.386041865717019</v>
      </c>
      <c r="CR37" s="431">
        <f t="shared" si="6"/>
        <v>0.0760010423000087</v>
      </c>
      <c r="CS37" s="431">
        <f t="shared" si="7"/>
        <v>5.48293233735777</v>
      </c>
      <c r="CT37" s="1010"/>
    </row>
    <row r="38" spans="3:97" ht="12.75">
      <c r="C38" s="95"/>
      <c r="F38" s="95"/>
      <c r="L38" s="96"/>
      <c r="R38" s="93"/>
      <c r="S38" s="93"/>
      <c r="T38" s="93"/>
      <c r="V38" s="96"/>
      <c r="W38" s="96"/>
      <c r="Z38" s="94"/>
      <c r="AF38" s="95"/>
      <c r="AL38" s="94"/>
      <c r="AO38" s="94"/>
      <c r="AU38" s="94"/>
      <c r="BA38" s="434"/>
      <c r="BB38" s="431"/>
      <c r="BG38" s="434"/>
      <c r="BH38" s="270"/>
      <c r="BJ38" s="434"/>
      <c r="BK38" s="439"/>
      <c r="BL38" s="35"/>
      <c r="BM38" s="434"/>
      <c r="BN38" s="439"/>
      <c r="BT38" s="991"/>
      <c r="BU38" s="991"/>
      <c r="BV38" s="991"/>
      <c r="BW38" s="991"/>
      <c r="BY38" s="1009"/>
      <c r="CK38" s="270"/>
      <c r="CL38" s="270"/>
      <c r="CM38" s="270"/>
      <c r="CN38" s="270"/>
      <c r="CO38" s="270"/>
      <c r="CP38" s="431"/>
      <c r="CQ38" s="431"/>
      <c r="CR38" s="431"/>
      <c r="CS38" s="431"/>
    </row>
    <row r="39" spans="3:97" ht="12.75">
      <c r="C39" s="95"/>
      <c r="F39" s="95"/>
      <c r="L39" s="96"/>
      <c r="R39" s="93"/>
      <c r="S39" s="93"/>
      <c r="T39" s="93"/>
      <c r="V39" s="96"/>
      <c r="W39" s="96"/>
      <c r="Z39" s="94"/>
      <c r="AF39" s="95"/>
      <c r="AL39" s="94"/>
      <c r="AO39" s="94"/>
      <c r="AU39" s="94"/>
      <c r="BA39" s="434"/>
      <c r="BB39" s="431"/>
      <c r="BG39" s="434"/>
      <c r="BH39" s="270"/>
      <c r="BJ39" s="434"/>
      <c r="BK39" s="439"/>
      <c r="BL39" s="35"/>
      <c r="BM39" s="434"/>
      <c r="BN39" s="439"/>
      <c r="BT39" s="991"/>
      <c r="BU39" s="991"/>
      <c r="BV39" s="991"/>
      <c r="BW39" s="991"/>
      <c r="BY39" s="1009"/>
      <c r="CK39" s="270"/>
      <c r="CL39" s="270"/>
      <c r="CM39" s="270"/>
      <c r="CN39" s="270"/>
      <c r="CO39" s="270"/>
      <c r="CP39" s="431"/>
      <c r="CQ39" s="431"/>
      <c r="CR39" s="431"/>
      <c r="CS39" s="431"/>
    </row>
    <row r="40" spans="1:98" ht="12.75">
      <c r="A40" s="432" t="s">
        <v>161</v>
      </c>
      <c r="C40" s="95">
        <f>VLOOKUP($A40,'Table 1.1'!$B$7:$K$42,4,FALSE)</f>
        <v>501.7425860000001</v>
      </c>
      <c r="F40" s="95">
        <f>VLOOKUP($A40,'Table 1.1'!$B$7:$K$42,2,FALSE)</f>
        <v>4324.817999999999</v>
      </c>
      <c r="L40" s="96">
        <f>VLOOKUP($A40,'Table 2.5.1'!$B$6:$Y$41,24,FALSE)</f>
        <v>69468.07621146295</v>
      </c>
      <c r="R40" s="93">
        <f>VLOOKUP($A40,'Table 2.5.2'!$B$8:$I$42,7,FALSE)/1000</f>
        <v>1891.9391542114624</v>
      </c>
      <c r="S40" s="93">
        <f>VLOOKUP($A40,'Table 2.5.2'!$B$8:$I$42,8,FALSE)/1000</f>
        <v>4765.751242211463</v>
      </c>
      <c r="T40" s="93"/>
      <c r="V40" s="96">
        <f>R40/$F40*1000</f>
        <v>437.46098777138434</v>
      </c>
      <c r="W40" s="96">
        <f>S40/$F40*1000</f>
        <v>1101.9541729181353</v>
      </c>
      <c r="Z40" s="94">
        <f>VLOOKUP($A40,'Table 2.5.3'!$B$6:$V$41,21,FALSE)</f>
        <v>213574.48666666666</v>
      </c>
      <c r="AF40" s="95">
        <f>VLOOKUP($A40,'Table 2.6.2'!$A$7:$Y$43,25,FALSE)/1000</f>
        <v>242.24113413408725</v>
      </c>
      <c r="AL40" s="94">
        <f>VLOOKUP($A40,'Table 2.6.5'!$B$7:$S$43,18,FALSE)</f>
        <v>34681.709</v>
      </c>
      <c r="AO40" s="94">
        <f>VLOOKUP($A40,'Table 2.6.4'!$B$7:$Z$43,25,FALSE)</f>
        <v>33980.52050493915</v>
      </c>
      <c r="AU40" s="94">
        <f>VLOOKUP($A40,'Table 2.6.6'!$B$6:$Q$41,16,FALSE)</f>
        <v>12063.039999999997</v>
      </c>
      <c r="BA40" s="434">
        <f>VLOOKUP($A40,'Table 2.3.4'!$B$6:$Z$41,25,FALSE)</f>
        <v>4822.133197566818</v>
      </c>
      <c r="BB40" s="431">
        <f t="shared" si="15"/>
        <v>9611</v>
      </c>
      <c r="BG40" s="434">
        <f>VLOOKUP(A40,'Table 2.3.5'!$B$6:$Z$41,25,FALSE)</f>
        <v>512.1888090500591</v>
      </c>
      <c r="BH40" s="550">
        <f t="shared" si="16"/>
        <v>1021</v>
      </c>
      <c r="BJ40" s="434">
        <f>VLOOKUP($A40,'Table 2.3.6'!$B$6:$Z$41,25,FALSE)</f>
        <v>92.86779564078708</v>
      </c>
      <c r="BK40" s="439">
        <f>ROUND((1000*BJ40/$C40),0)</f>
        <v>185</v>
      </c>
      <c r="BL40" s="35"/>
      <c r="BM40" s="434">
        <f>VLOOKUP($A40,'Table 2.3.7'!$B$6:$Z$41,25,FALSE)</f>
        <v>407.14454168899994</v>
      </c>
      <c r="BN40" s="439">
        <f>ROUND((1000*BM40/$C40),0)</f>
        <v>811</v>
      </c>
      <c r="BT40" s="991">
        <f>VLOOKUP($A40,'Table 2.3.3'!$B$7:$F$42,2,FALSE)</f>
        <v>82.65095747503668</v>
      </c>
      <c r="BU40" s="991">
        <f>VLOOKUP($A40,'Table 2.3.3'!$B$7:$F$42,3,FALSE)</f>
        <v>8.77887311311656</v>
      </c>
      <c r="BV40" s="991">
        <f>VLOOKUP($A40,'Table 2.3.3'!$B$7:$F$42,4,FALSE)</f>
        <v>6.97842320454993</v>
      </c>
      <c r="BW40" s="991">
        <f>VLOOKUP($A40,'Table 2.3.3'!$B$7:$F$42,5,FALSE)</f>
        <v>1.5917462072968243</v>
      </c>
      <c r="BY40" s="1009">
        <f t="shared" si="17"/>
        <v>11628</v>
      </c>
      <c r="CB40">
        <f>VLOOKUP($A40,'Table 2.4.1'!$A$7:$AE$37,31,FALSE)/1000</f>
        <v>829.1907830000002</v>
      </c>
      <c r="CK40" s="270">
        <f>VLOOKUP($A40,'Table 2.2.4c'!$B$7:$S$42,18,FALSE)</f>
        <v>1734.103</v>
      </c>
      <c r="CL40" s="270">
        <f>VLOOKUP($A40,'Table 2.2.5'!$A$6:$Y$41,25,FALSE)</f>
        <v>419.95599999999985</v>
      </c>
      <c r="CM40" s="270">
        <f>VLOOKUP($A40,'Table 2.2.6'!$B$6:$Z$41,25,FALSE)</f>
        <v>141.127</v>
      </c>
      <c r="CN40" s="270">
        <f>VLOOKUP($A40,'Table 2.2.7'!$B$6:$Z$41,25,FALSE)</f>
        <v>118.55142080123264</v>
      </c>
      <c r="CO40" s="270">
        <f>SUM(CK40:CN40)</f>
        <v>2413.7374208012325</v>
      </c>
      <c r="CP40" s="431">
        <f aca="true" t="shared" si="18" ref="CP40:CS41">IF(CK40&lt;&gt;"-",100*CK40/$CO40,0)</f>
        <v>71.84306731360904</v>
      </c>
      <c r="CQ40" s="431">
        <f t="shared" si="18"/>
        <v>17.398578502403826</v>
      </c>
      <c r="CR40" s="431">
        <f t="shared" si="18"/>
        <v>5.846824877627052</v>
      </c>
      <c r="CS40" s="431">
        <f t="shared" si="18"/>
        <v>4.911529306360087</v>
      </c>
      <c r="CT40" s="1010"/>
    </row>
    <row r="41" spans="1:98" ht="12.75">
      <c r="A41" s="432" t="s">
        <v>162</v>
      </c>
      <c r="C41" s="95">
        <f>VLOOKUP($A41,'Table 1.1'!$B$7:$K$42,4,FALSE)</f>
        <v>398.93076800000006</v>
      </c>
      <c r="F41" s="95">
        <f>VLOOKUP($A41,'Table 1.1'!$B$7:$K$42,2,FALSE)</f>
        <v>3236.8820000000005</v>
      </c>
      <c r="L41" s="96">
        <f>VLOOKUP($A41,'Table 2.5.1'!$B$6:$Y$41,24,FALSE)</f>
        <v>63763.37621146295</v>
      </c>
      <c r="R41" s="93">
        <f>VLOOKUP($A41,'Table 2.5.2'!$B$8:$I$42,7,FALSE)/1000</f>
        <v>1496.5938712114628</v>
      </c>
      <c r="S41" s="93">
        <f>VLOOKUP($A41,'Table 2.5.2'!$B$8:$I$42,8,FALSE)/1000</f>
        <v>3637.6899592114632</v>
      </c>
      <c r="T41" s="93"/>
      <c r="V41" s="96">
        <f>R41/$F41*1000</f>
        <v>462.35663555590304</v>
      </c>
      <c r="W41" s="96">
        <f>S41/$F41*1000</f>
        <v>1123.8253230150074</v>
      </c>
      <c r="Z41" s="94">
        <f>VLOOKUP($A41,'Table 2.5.3'!$B$6:$V$41,21,FALSE)</f>
        <v>152492.48666666666</v>
      </c>
      <c r="AF41" s="95">
        <f>VLOOKUP($A41,'Table 2.6.2'!$A$7:$Y$43,25,FALSE)/1000</f>
        <v>203.1064671340873</v>
      </c>
      <c r="AL41" s="94">
        <f>VLOOKUP($A41,'Table 2.6.5'!$B$7:$S$43,18,FALSE)</f>
        <v>30932.783</v>
      </c>
      <c r="AO41" s="94">
        <f>VLOOKUP($A41,'Table 2.6.4'!$B$7:$Z$43,25,FALSE)</f>
        <v>27916.489504939156</v>
      </c>
      <c r="AU41" s="94">
        <f>VLOOKUP($A41,'Table 2.6.6'!$B$6:$Q$41,16,FALSE)</f>
        <v>11297.139</v>
      </c>
      <c r="BA41" s="434">
        <f>VLOOKUP($A41,'Table 2.3.4'!$B$6:$Z$41,25,FALSE)</f>
        <v>4155.961779403159</v>
      </c>
      <c r="BB41" s="431">
        <f t="shared" si="15"/>
        <v>10418</v>
      </c>
      <c r="BG41" s="434">
        <f>VLOOKUP(A41,'Table 2.3.5'!$B$6:$Z$41,25,FALSE)</f>
        <v>419.312066289392</v>
      </c>
      <c r="BH41" s="550">
        <f t="shared" si="16"/>
        <v>1051</v>
      </c>
      <c r="BJ41" s="434">
        <f>VLOOKUP($A41,'Table 2.3.6'!$B$6:$Z$41,25,FALSE)</f>
        <v>68.81236507346028</v>
      </c>
      <c r="BK41" s="439">
        <f>ROUND((1000*BJ41/$C41),0)</f>
        <v>172</v>
      </c>
      <c r="BM41" s="434">
        <f>VLOOKUP($A41,'Table 2.3.7'!$B$6:$Z$41,25,FALSE)</f>
        <v>362.729541689</v>
      </c>
      <c r="BN41" s="439">
        <f>ROUND((1000*BM41/$C41),0)</f>
        <v>909</v>
      </c>
      <c r="BT41" s="991">
        <f>VLOOKUP($A41,'Table 2.3.3'!$B$7:$F$42,2,FALSE)</f>
        <v>83.00608580144676</v>
      </c>
      <c r="BU41" s="991">
        <f>VLOOKUP($A41,'Table 2.3.3'!$B$7:$F$42,3,FALSE)</f>
        <v>8.374825178733392</v>
      </c>
      <c r="BV41" s="991">
        <f>VLOOKUP($A41,'Table 2.3.3'!$B$7:$F$42,4,FALSE)</f>
        <v>7.244715196702442</v>
      </c>
      <c r="BW41" s="991">
        <f>VLOOKUP($A41,'Table 2.3.3'!$B$7:$F$42,5,FALSE)</f>
        <v>1.3743738231174025</v>
      </c>
      <c r="BY41" s="1009">
        <f t="shared" si="17"/>
        <v>12550</v>
      </c>
      <c r="CB41">
        <f>VLOOKUP($A41,'Table 2.4.1'!$A$7:$AE$37,31,FALSE)/1000</f>
        <v>764.735189</v>
      </c>
      <c r="CK41" s="270">
        <f>VLOOKUP($A41,'Table 2.2.4c'!$B$7:$S$42,18,FALSE)</f>
        <v>1303.166</v>
      </c>
      <c r="CL41" s="270">
        <f>VLOOKUP($A41,'Table 2.2.5'!$A$6:$Y$41,25,FALSE)</f>
        <v>270.28499999999997</v>
      </c>
      <c r="CM41" s="270">
        <f>VLOOKUP($A41,'Table 2.2.6'!$B$6:$Z$41,25,FALSE)</f>
        <v>122.43100000000003</v>
      </c>
      <c r="CN41" s="270">
        <f>VLOOKUP($A41,'Table 2.2.7'!$B$6:$Z$41,25,FALSE)</f>
        <v>81.1865</v>
      </c>
      <c r="CO41" s="270">
        <f>SUM(CK41:CN41)</f>
        <v>1777.0685</v>
      </c>
      <c r="CP41" s="431">
        <f t="shared" si="18"/>
        <v>73.33234481394499</v>
      </c>
      <c r="CQ41" s="431">
        <f t="shared" si="18"/>
        <v>15.209599404862557</v>
      </c>
      <c r="CR41" s="431">
        <f t="shared" si="18"/>
        <v>6.889492442187795</v>
      </c>
      <c r="CS41" s="431">
        <f t="shared" si="18"/>
        <v>4.568563339004658</v>
      </c>
      <c r="CT41" s="1010"/>
    </row>
    <row r="42" spans="53:66" ht="12.75">
      <c r="BA42" s="1049" t="s">
        <v>231</v>
      </c>
      <c r="BB42" s="1050"/>
      <c r="BG42" s="1051" t="s">
        <v>232</v>
      </c>
      <c r="BH42" s="1050"/>
      <c r="BJ42" s="1051" t="s">
        <v>233</v>
      </c>
      <c r="BK42" s="1050"/>
      <c r="BM42" s="1051" t="s">
        <v>234</v>
      </c>
      <c r="BN42" s="1050"/>
    </row>
    <row r="43" spans="22:66" ht="12.75">
      <c r="V43" s="1022"/>
      <c r="BA43" s="1051"/>
      <c r="BB43" s="1052"/>
      <c r="BG43" s="1051"/>
      <c r="BH43" s="1052"/>
      <c r="BJ43" s="1051"/>
      <c r="BK43" s="1052"/>
      <c r="BM43" s="1051"/>
      <c r="BN43" s="1052"/>
    </row>
    <row r="44" spans="53:66" ht="12.75">
      <c r="BA44" s="1051"/>
      <c r="BB44" s="1052"/>
      <c r="BG44" s="1051"/>
      <c r="BH44" s="1052"/>
      <c r="BJ44" s="1051"/>
      <c r="BK44" s="1052"/>
      <c r="BM44" s="1051"/>
      <c r="BN44" s="1052"/>
    </row>
    <row r="45" spans="53:66" ht="12.75">
      <c r="BA45" s="1051"/>
      <c r="BB45" s="1052"/>
      <c r="BG45" s="1051"/>
      <c r="BH45" s="1052"/>
      <c r="BJ45" s="1051"/>
      <c r="BK45" s="1052"/>
      <c r="BM45" s="1051"/>
      <c r="BN45" s="1052"/>
    </row>
    <row r="46" spans="53:66" ht="12.75">
      <c r="BA46" s="1051"/>
      <c r="BB46" s="1052"/>
      <c r="BG46" s="1051"/>
      <c r="BH46" s="1052"/>
      <c r="BJ46" s="1051"/>
      <c r="BK46" s="1052"/>
      <c r="BM46" s="1051"/>
      <c r="BN46" s="1052"/>
    </row>
    <row r="47" spans="53:66" ht="12.75">
      <c r="BA47" s="1051"/>
      <c r="BB47" s="1052"/>
      <c r="BG47" s="1051"/>
      <c r="BH47" s="1052"/>
      <c r="BJ47" s="1051"/>
      <c r="BK47" s="1052"/>
      <c r="BM47" s="1051"/>
      <c r="BN47" s="1052"/>
    </row>
    <row r="48" spans="53:66" ht="12.75">
      <c r="BA48" s="1051"/>
      <c r="BB48" s="1052"/>
      <c r="BG48" s="1051"/>
      <c r="BH48" s="1052"/>
      <c r="BJ48" s="1051"/>
      <c r="BK48" s="1052"/>
      <c r="BM48" s="1051"/>
      <c r="BN48" s="1052"/>
    </row>
    <row r="49" spans="53:66" ht="12.75">
      <c r="BA49" s="1051"/>
      <c r="BB49" s="1052"/>
      <c r="BG49" s="1051"/>
      <c r="BH49" s="1052"/>
      <c r="BJ49" s="1051"/>
      <c r="BK49" s="1052"/>
      <c r="BM49" s="1051"/>
      <c r="BN49" s="1052"/>
    </row>
    <row r="50" spans="53:66" ht="12.75">
      <c r="BA50" s="1051"/>
      <c r="BB50" s="1052"/>
      <c r="BG50" s="1051"/>
      <c r="BH50" s="1052"/>
      <c r="BJ50" s="1051"/>
      <c r="BK50" s="1052"/>
      <c r="BM50" s="1051"/>
      <c r="BN50" s="1052"/>
    </row>
    <row r="51" spans="53:66" ht="12.75">
      <c r="BA51" s="1053"/>
      <c r="BB51" s="1054"/>
      <c r="BG51" s="1053"/>
      <c r="BH51" s="1054"/>
      <c r="BJ51" s="1053"/>
      <c r="BK51" s="1054"/>
      <c r="BM51" s="1053"/>
      <c r="BN51" s="1054"/>
    </row>
  </sheetData>
  <sheetProtection/>
  <mergeCells count="4">
    <mergeCell ref="BA42:BB51"/>
    <mergeCell ref="BG42:BH51"/>
    <mergeCell ref="BJ42:BK51"/>
    <mergeCell ref="BM42:BN51"/>
  </mergeCells>
  <printOptions/>
  <pageMargins left="0.75" right="0.75" top="1" bottom="1" header="0.5" footer="0.5"/>
  <pageSetup fitToWidth="3" fitToHeight="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B1:AF44"/>
  <sheetViews>
    <sheetView zoomScale="70" zoomScaleNormal="70" zoomScalePageLayoutView="0" workbookViewId="0" topLeftCell="H1">
      <selection activeCell="B7" sqref="B7:B33"/>
    </sheetView>
  </sheetViews>
  <sheetFormatPr defaultColWidth="9.140625" defaultRowHeight="12.75"/>
  <cols>
    <col min="2" max="2" width="12.57421875" style="0" customWidth="1"/>
    <col min="30" max="30" width="14.57421875" style="0" customWidth="1"/>
  </cols>
  <sheetData>
    <row r="1" ht="14.25" customHeight="1">
      <c r="AD1" s="102" t="s">
        <v>170</v>
      </c>
    </row>
    <row r="2" spans="2:30" ht="19.5" customHeight="1">
      <c r="B2" s="1055" t="s">
        <v>171</v>
      </c>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row>
    <row r="3" spans="2:30" ht="19.5" customHeight="1">
      <c r="B3" s="1056" t="s">
        <v>172</v>
      </c>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row>
    <row r="4" spans="2:30" ht="12.75">
      <c r="B4" s="1057">
        <v>2011</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row>
    <row r="5" spans="3:29" ht="13.5" customHeight="1">
      <c r="C5" s="113" t="s">
        <v>173</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5"/>
    </row>
    <row r="6" spans="2:30" ht="24" customHeight="1">
      <c r="B6" s="116" t="s">
        <v>174</v>
      </c>
      <c r="C6" s="117" t="s">
        <v>1</v>
      </c>
      <c r="D6" s="118" t="s">
        <v>104</v>
      </c>
      <c r="E6" s="118" t="s">
        <v>63</v>
      </c>
      <c r="F6" s="118" t="s">
        <v>2</v>
      </c>
      <c r="G6" s="118" t="s">
        <v>3</v>
      </c>
      <c r="H6" s="118" t="s">
        <v>66</v>
      </c>
      <c r="I6" s="118" t="s">
        <v>6</v>
      </c>
      <c r="J6" s="118" t="s">
        <v>175</v>
      </c>
      <c r="K6" s="118" t="s">
        <v>4</v>
      </c>
      <c r="L6" s="118" t="s">
        <v>5</v>
      </c>
      <c r="M6" s="118" t="s">
        <v>7</v>
      </c>
      <c r="N6" s="118" t="s">
        <v>71</v>
      </c>
      <c r="O6" s="118" t="s">
        <v>75</v>
      </c>
      <c r="P6" s="118" t="s">
        <v>76</v>
      </c>
      <c r="Q6" s="118" t="s">
        <v>176</v>
      </c>
      <c r="R6" s="118" t="s">
        <v>80</v>
      </c>
      <c r="S6" s="118" t="s">
        <v>177</v>
      </c>
      <c r="T6" s="118" t="s">
        <v>178</v>
      </c>
      <c r="U6" s="118" t="s">
        <v>10</v>
      </c>
      <c r="V6" s="118" t="s">
        <v>83</v>
      </c>
      <c r="W6" s="118" t="s">
        <v>11</v>
      </c>
      <c r="X6" s="118" t="s">
        <v>105</v>
      </c>
      <c r="Y6" s="118" t="s">
        <v>85</v>
      </c>
      <c r="Z6" s="118" t="s">
        <v>179</v>
      </c>
      <c r="AA6" s="118" t="s">
        <v>27</v>
      </c>
      <c r="AB6" s="118" t="s">
        <v>12</v>
      </c>
      <c r="AC6" s="119" t="s">
        <v>180</v>
      </c>
      <c r="AD6" s="120"/>
    </row>
    <row r="7" spans="2:32" ht="15" customHeight="1">
      <c r="B7" s="121" t="s">
        <v>10</v>
      </c>
      <c r="C7" s="122">
        <v>402.911</v>
      </c>
      <c r="D7" s="122">
        <v>400.393</v>
      </c>
      <c r="E7" s="122">
        <v>151.861</v>
      </c>
      <c r="F7" s="122">
        <v>418.565</v>
      </c>
      <c r="G7" s="122">
        <v>6429.463</v>
      </c>
      <c r="H7" s="122">
        <v>2.81</v>
      </c>
      <c r="I7" s="122">
        <v>124.029</v>
      </c>
      <c r="J7" s="122">
        <v>658.082</v>
      </c>
      <c r="K7" s="122">
        <v>1395.511</v>
      </c>
      <c r="L7" s="122">
        <v>1051.897</v>
      </c>
      <c r="M7" s="122">
        <v>1202.028</v>
      </c>
      <c r="N7" s="122">
        <v>147.637</v>
      </c>
      <c r="O7" s="122">
        <v>59.901</v>
      </c>
      <c r="P7" s="122">
        <v>43.941</v>
      </c>
      <c r="Q7" s="122">
        <v>56.627</v>
      </c>
      <c r="R7" s="122">
        <v>78.048</v>
      </c>
      <c r="S7" s="122">
        <v>68.355</v>
      </c>
      <c r="T7" s="122">
        <v>684.259</v>
      </c>
      <c r="U7" s="123">
        <v>663.656</v>
      </c>
      <c r="V7" s="122">
        <v>287.382</v>
      </c>
      <c r="W7" s="122">
        <v>81.423</v>
      </c>
      <c r="X7" s="122">
        <v>518.982</v>
      </c>
      <c r="Y7" s="122">
        <v>59.817</v>
      </c>
      <c r="Z7" s="122">
        <v>42.815</v>
      </c>
      <c r="AA7" s="122">
        <v>225.648</v>
      </c>
      <c r="AB7" s="122">
        <v>419.134</v>
      </c>
      <c r="AC7" s="122">
        <v>1694.961</v>
      </c>
      <c r="AD7" s="98" t="s">
        <v>10</v>
      </c>
      <c r="AF7" s="138">
        <v>17.370136</v>
      </c>
    </row>
    <row r="8" spans="2:32" ht="15" customHeight="1">
      <c r="B8" s="121" t="s">
        <v>1</v>
      </c>
      <c r="C8" s="123">
        <v>47.363</v>
      </c>
      <c r="D8" s="122">
        <v>165.244</v>
      </c>
      <c r="E8" s="122">
        <v>282.621</v>
      </c>
      <c r="F8" s="122">
        <v>459.832</v>
      </c>
      <c r="G8" s="122">
        <v>1510.377</v>
      </c>
      <c r="H8" s="122">
        <v>29.707</v>
      </c>
      <c r="I8" s="122">
        <v>342.992</v>
      </c>
      <c r="J8" s="122">
        <v>844.754</v>
      </c>
      <c r="K8" s="122">
        <v>4221.613</v>
      </c>
      <c r="L8" s="122">
        <v>1543.102</v>
      </c>
      <c r="M8" s="122">
        <v>2904.998</v>
      </c>
      <c r="N8" s="122">
        <v>73.722</v>
      </c>
      <c r="O8" s="122">
        <v>152.666</v>
      </c>
      <c r="P8" s="122">
        <v>82.761</v>
      </c>
      <c r="Q8" s="122">
        <v>0.266</v>
      </c>
      <c r="R8" s="122">
        <v>298.701</v>
      </c>
      <c r="S8" s="122">
        <v>84.462</v>
      </c>
      <c r="T8" s="122">
        <v>191.61</v>
      </c>
      <c r="U8" s="122">
        <v>405.529</v>
      </c>
      <c r="V8" s="122">
        <v>417.312</v>
      </c>
      <c r="W8" s="122">
        <v>745.435</v>
      </c>
      <c r="X8" s="122">
        <v>241.812</v>
      </c>
      <c r="Y8" s="122">
        <v>57.09</v>
      </c>
      <c r="Z8" s="122">
        <v>71.168</v>
      </c>
      <c r="AA8" s="122">
        <v>259.426</v>
      </c>
      <c r="AB8" s="122">
        <v>457.551</v>
      </c>
      <c r="AC8" s="122">
        <v>1221.173</v>
      </c>
      <c r="AD8" s="98" t="s">
        <v>1</v>
      </c>
      <c r="AF8" s="138">
        <v>17.113287</v>
      </c>
    </row>
    <row r="9" spans="2:32" ht="15" customHeight="1">
      <c r="B9" s="121" t="s">
        <v>104</v>
      </c>
      <c r="C9" s="125">
        <v>156.743</v>
      </c>
      <c r="D9" s="123">
        <v>204.925</v>
      </c>
      <c r="E9" s="125">
        <v>256.667</v>
      </c>
      <c r="F9" s="125">
        <v>102.721</v>
      </c>
      <c r="G9" s="125">
        <v>1223.513</v>
      </c>
      <c r="H9" s="125">
        <v>9.492</v>
      </c>
      <c r="I9" s="125">
        <v>40.803</v>
      </c>
      <c r="J9" s="125">
        <v>98.642</v>
      </c>
      <c r="K9" s="125">
        <v>276.113</v>
      </c>
      <c r="L9" s="125">
        <v>228.917</v>
      </c>
      <c r="M9" s="125">
        <v>346.058</v>
      </c>
      <c r="N9" s="125">
        <v>73.863</v>
      </c>
      <c r="O9" s="125">
        <v>9.08</v>
      </c>
      <c r="P9" s="125">
        <v>12.454</v>
      </c>
      <c r="Q9" s="125">
        <v>18.805</v>
      </c>
      <c r="R9" s="125">
        <v>136.277</v>
      </c>
      <c r="S9" s="125">
        <v>13.829</v>
      </c>
      <c r="T9" s="125">
        <v>185.292</v>
      </c>
      <c r="U9" s="125">
        <v>401.254</v>
      </c>
      <c r="V9" s="125">
        <v>224.172</v>
      </c>
      <c r="W9" s="125">
        <v>2.945</v>
      </c>
      <c r="X9" s="125">
        <v>32.19</v>
      </c>
      <c r="Y9" s="125">
        <v>7.644</v>
      </c>
      <c r="Z9" s="125">
        <v>83.624</v>
      </c>
      <c r="AA9" s="125">
        <v>60.061</v>
      </c>
      <c r="AB9" s="125">
        <v>47.04</v>
      </c>
      <c r="AC9" s="125">
        <v>831.793</v>
      </c>
      <c r="AD9" t="s">
        <v>104</v>
      </c>
      <c r="AF9" s="138">
        <v>5.084916999999998</v>
      </c>
    </row>
    <row r="10" spans="2:32" ht="15" customHeight="1">
      <c r="B10" s="121" t="s">
        <v>71</v>
      </c>
      <c r="C10" s="125">
        <v>74.263</v>
      </c>
      <c r="D10" s="125">
        <v>74.075</v>
      </c>
      <c r="E10" s="125">
        <v>129.985</v>
      </c>
      <c r="F10" s="125">
        <v>72.708</v>
      </c>
      <c r="G10" s="125">
        <v>376.811</v>
      </c>
      <c r="H10" s="125">
        <v>2.086</v>
      </c>
      <c r="I10" s="125">
        <v>12.877</v>
      </c>
      <c r="J10" s="125">
        <v>1112.765</v>
      </c>
      <c r="K10" s="125">
        <v>39.853</v>
      </c>
      <c r="L10" s="125">
        <v>90.03</v>
      </c>
      <c r="M10" s="125">
        <v>65.889</v>
      </c>
      <c r="N10" s="123">
        <v>0.107</v>
      </c>
      <c r="O10" s="125">
        <v>0.009</v>
      </c>
      <c r="P10" s="125">
        <v>0</v>
      </c>
      <c r="Q10" s="125">
        <v>6.115</v>
      </c>
      <c r="R10" s="125">
        <v>78.587</v>
      </c>
      <c r="S10" s="125">
        <v>32.419</v>
      </c>
      <c r="T10" s="125">
        <v>94.843</v>
      </c>
      <c r="U10" s="125">
        <v>146.706</v>
      </c>
      <c r="V10" s="125">
        <v>66.623</v>
      </c>
      <c r="W10" s="125">
        <v>1.747</v>
      </c>
      <c r="X10" s="125">
        <v>165.335</v>
      </c>
      <c r="Y10" s="125">
        <v>2.679</v>
      </c>
      <c r="Z10" s="125">
        <v>9.776</v>
      </c>
      <c r="AA10" s="125">
        <v>69.48</v>
      </c>
      <c r="AB10" s="125">
        <v>212.505</v>
      </c>
      <c r="AC10" s="125">
        <v>2667.456</v>
      </c>
      <c r="AD10" t="s">
        <v>71</v>
      </c>
      <c r="AF10" s="138">
        <v>5.605728999999999</v>
      </c>
    </row>
    <row r="11" spans="2:32" ht="15" customHeight="1">
      <c r="B11" s="121" t="s">
        <v>63</v>
      </c>
      <c r="C11" s="122">
        <v>283.315</v>
      </c>
      <c r="D11" s="122">
        <v>257.078</v>
      </c>
      <c r="E11" s="123">
        <v>121.981</v>
      </c>
      <c r="F11" s="122">
        <v>236.724</v>
      </c>
      <c r="G11" s="122">
        <v>1161.344</v>
      </c>
      <c r="H11" s="122">
        <v>59.299</v>
      </c>
      <c r="I11" s="122">
        <v>86.479</v>
      </c>
      <c r="J11" s="122">
        <v>600.27</v>
      </c>
      <c r="K11" s="122">
        <v>826.522</v>
      </c>
      <c r="L11" s="122">
        <v>1016.792</v>
      </c>
      <c r="M11" s="122">
        <v>927.038</v>
      </c>
      <c r="N11" s="122">
        <v>133.438</v>
      </c>
      <c r="O11" s="122">
        <v>56.104</v>
      </c>
      <c r="P11" s="122">
        <v>66.94</v>
      </c>
      <c r="Q11" s="122">
        <v>12.091</v>
      </c>
      <c r="R11" s="122">
        <v>151.53</v>
      </c>
      <c r="S11" s="122">
        <v>8.212</v>
      </c>
      <c r="T11" s="122">
        <v>541.93</v>
      </c>
      <c r="U11" s="122">
        <v>153.82</v>
      </c>
      <c r="V11" s="122">
        <v>219.772</v>
      </c>
      <c r="W11" s="122">
        <v>62.053</v>
      </c>
      <c r="X11" s="122">
        <v>112.477</v>
      </c>
      <c r="Y11" s="122">
        <v>37.542</v>
      </c>
      <c r="Z11" s="122">
        <v>116.977</v>
      </c>
      <c r="AA11" s="122">
        <v>139.815</v>
      </c>
      <c r="AB11" s="122">
        <v>175.425</v>
      </c>
      <c r="AC11" s="122">
        <v>1298.563</v>
      </c>
      <c r="AD11" t="s">
        <v>63</v>
      </c>
      <c r="AF11" s="138">
        <v>8.863531</v>
      </c>
    </row>
    <row r="12" spans="2:32" ht="15" customHeight="1">
      <c r="B12" s="121" t="s">
        <v>3</v>
      </c>
      <c r="C12" s="122">
        <v>1502.156</v>
      </c>
      <c r="D12" s="122">
        <v>1222.26</v>
      </c>
      <c r="E12" s="122">
        <v>1135.194</v>
      </c>
      <c r="F12" s="122">
        <v>2331.836</v>
      </c>
      <c r="G12" s="123">
        <v>24418.383</v>
      </c>
      <c r="H12" s="122">
        <v>238.642</v>
      </c>
      <c r="I12" s="122">
        <v>1361.464</v>
      </c>
      <c r="J12" s="122">
        <v>4543.199</v>
      </c>
      <c r="K12" s="122">
        <v>21975.101</v>
      </c>
      <c r="L12" s="122">
        <v>7110.058</v>
      </c>
      <c r="M12" s="122">
        <v>11170.182</v>
      </c>
      <c r="N12" s="122">
        <v>383.956</v>
      </c>
      <c r="O12" s="122">
        <v>585.968</v>
      </c>
      <c r="P12" s="122">
        <v>285.459</v>
      </c>
      <c r="Q12" s="122">
        <v>286.419</v>
      </c>
      <c r="R12" s="122">
        <v>1495.79</v>
      </c>
      <c r="S12" s="122">
        <v>520.577</v>
      </c>
      <c r="T12" s="122">
        <v>3301.492</v>
      </c>
      <c r="U12" s="122">
        <v>6418.559</v>
      </c>
      <c r="V12" s="122">
        <v>2843.569</v>
      </c>
      <c r="W12" s="122">
        <v>2641.528</v>
      </c>
      <c r="X12" s="122">
        <v>1292.186</v>
      </c>
      <c r="Y12" s="122">
        <v>198.262</v>
      </c>
      <c r="Z12" s="122">
        <v>1.379</v>
      </c>
      <c r="AA12" s="122">
        <v>1680.236</v>
      </c>
      <c r="AB12" s="122">
        <v>2719.96</v>
      </c>
      <c r="AC12" s="122">
        <v>11588.913</v>
      </c>
      <c r="AD12" s="98" t="s">
        <v>3</v>
      </c>
      <c r="AF12" s="138">
        <v>113.25272800000002</v>
      </c>
    </row>
    <row r="13" spans="2:32" ht="15" customHeight="1">
      <c r="B13" s="121" t="s">
        <v>2</v>
      </c>
      <c r="C13" s="125">
        <v>460.074</v>
      </c>
      <c r="D13" s="125">
        <v>98.571</v>
      </c>
      <c r="E13" s="125">
        <v>237.282</v>
      </c>
      <c r="F13" s="123">
        <v>2365.947</v>
      </c>
      <c r="G13" s="125">
        <v>2344.406</v>
      </c>
      <c r="H13" s="125">
        <v>133.195</v>
      </c>
      <c r="I13" s="125">
        <v>199.52</v>
      </c>
      <c r="J13" s="125">
        <v>666.018</v>
      </c>
      <c r="K13" s="125">
        <v>2195.59</v>
      </c>
      <c r="L13" s="125">
        <v>1311.138</v>
      </c>
      <c r="M13" s="125">
        <v>947.486</v>
      </c>
      <c r="N13" s="125">
        <v>72.754</v>
      </c>
      <c r="O13" s="125">
        <v>159.342</v>
      </c>
      <c r="P13" s="125">
        <v>177.937</v>
      </c>
      <c r="Q13" s="125">
        <v>56.933</v>
      </c>
      <c r="R13" s="125">
        <v>176.1</v>
      </c>
      <c r="S13" s="125">
        <v>58.725</v>
      </c>
      <c r="T13" s="125">
        <v>1158.133</v>
      </c>
      <c r="U13" s="125">
        <v>420.838</v>
      </c>
      <c r="V13" s="125">
        <v>362.447</v>
      </c>
      <c r="W13" s="125">
        <v>223.429</v>
      </c>
      <c r="X13" s="125">
        <v>21.329</v>
      </c>
      <c r="Y13" s="125">
        <v>17.711</v>
      </c>
      <c r="Z13" s="125">
        <v>0.205</v>
      </c>
      <c r="AA13" s="125">
        <v>774.83</v>
      </c>
      <c r="AB13" s="125">
        <v>1638.45</v>
      </c>
      <c r="AC13" s="125">
        <v>2562.709</v>
      </c>
      <c r="AD13" s="98" t="s">
        <v>2</v>
      </c>
      <c r="AF13" s="138">
        <v>18.841099000000007</v>
      </c>
    </row>
    <row r="14" spans="2:32" ht="15" customHeight="1">
      <c r="B14" s="121" t="s">
        <v>66</v>
      </c>
      <c r="C14" s="125">
        <v>29.713</v>
      </c>
      <c r="D14" s="125">
        <v>9.691</v>
      </c>
      <c r="E14" s="125">
        <v>59.243</v>
      </c>
      <c r="F14" s="125">
        <v>133.24</v>
      </c>
      <c r="G14" s="125">
        <v>240.955</v>
      </c>
      <c r="H14" s="123">
        <v>28.966</v>
      </c>
      <c r="I14" s="125">
        <v>47.891</v>
      </c>
      <c r="J14" s="125">
        <v>18.362</v>
      </c>
      <c r="K14" s="125">
        <v>60.622</v>
      </c>
      <c r="L14" s="125">
        <v>15.494</v>
      </c>
      <c r="M14" s="125">
        <v>51.252</v>
      </c>
      <c r="N14" s="125">
        <v>2.089</v>
      </c>
      <c r="O14" s="125">
        <v>173.404</v>
      </c>
      <c r="P14" s="125">
        <v>34.805</v>
      </c>
      <c r="Q14" s="125">
        <v>0.106</v>
      </c>
      <c r="R14" s="125">
        <v>0.078</v>
      </c>
      <c r="S14" s="125">
        <v>0.566</v>
      </c>
      <c r="T14" s="125">
        <v>56.13</v>
      </c>
      <c r="U14" s="125">
        <v>2.857</v>
      </c>
      <c r="V14" s="125">
        <v>21.657</v>
      </c>
      <c r="W14" s="125">
        <v>4.635</v>
      </c>
      <c r="X14" s="125">
        <v>0.084</v>
      </c>
      <c r="Y14" s="125">
        <v>0.439</v>
      </c>
      <c r="Z14" s="125">
        <v>0.075</v>
      </c>
      <c r="AA14" s="125">
        <v>191.926</v>
      </c>
      <c r="AB14" s="125">
        <v>159.372</v>
      </c>
      <c r="AC14" s="125">
        <v>245.144</v>
      </c>
      <c r="AD14" t="s">
        <v>66</v>
      </c>
      <c r="AF14" s="138">
        <v>1.5887959999999999</v>
      </c>
    </row>
    <row r="15" spans="2:32" ht="15" customHeight="1">
      <c r="B15" s="121" t="s">
        <v>175</v>
      </c>
      <c r="C15" s="125">
        <v>839.432</v>
      </c>
      <c r="D15" s="125">
        <v>97.814</v>
      </c>
      <c r="E15" s="125">
        <v>594.822</v>
      </c>
      <c r="F15" s="125">
        <v>667.961</v>
      </c>
      <c r="G15" s="125">
        <v>4505.307</v>
      </c>
      <c r="H15" s="125">
        <v>17.909</v>
      </c>
      <c r="I15" s="125">
        <v>56.228</v>
      </c>
      <c r="J15" s="123">
        <v>5658.084</v>
      </c>
      <c r="K15" s="125">
        <v>623.201</v>
      </c>
      <c r="L15" s="125">
        <v>1801.348</v>
      </c>
      <c r="M15" s="125">
        <v>2307.632</v>
      </c>
      <c r="N15" s="125">
        <v>1129.875</v>
      </c>
      <c r="O15" s="125">
        <v>46.864</v>
      </c>
      <c r="P15" s="125">
        <v>64.23</v>
      </c>
      <c r="Q15" s="125">
        <v>50.407</v>
      </c>
      <c r="R15" s="125">
        <v>269.943</v>
      </c>
      <c r="S15" s="125">
        <v>13.334</v>
      </c>
      <c r="T15" s="125">
        <v>1257.386</v>
      </c>
      <c r="U15" s="125">
        <v>656.166</v>
      </c>
      <c r="V15" s="125">
        <v>699.986</v>
      </c>
      <c r="W15" s="125">
        <v>30.681</v>
      </c>
      <c r="X15" s="125">
        <v>235.037</v>
      </c>
      <c r="Y15" s="125">
        <v>66.162</v>
      </c>
      <c r="Z15" s="125">
        <v>101.777</v>
      </c>
      <c r="AA15" s="125">
        <v>422.807</v>
      </c>
      <c r="AB15" s="125">
        <v>776.194</v>
      </c>
      <c r="AC15" s="125">
        <v>4749.695</v>
      </c>
      <c r="AD15" s="98" t="s">
        <v>175</v>
      </c>
      <c r="AF15" s="138">
        <v>27.740281999999997</v>
      </c>
    </row>
    <row r="16" spans="2:32" ht="15" customHeight="1">
      <c r="B16" s="121" t="s">
        <v>4</v>
      </c>
      <c r="C16" s="122">
        <v>4249.507</v>
      </c>
      <c r="D16" s="122">
        <v>276.269</v>
      </c>
      <c r="E16" s="122">
        <v>832.116</v>
      </c>
      <c r="F16" s="122">
        <v>2198.324</v>
      </c>
      <c r="G16" s="122">
        <v>22292.396</v>
      </c>
      <c r="H16" s="122">
        <v>60.892</v>
      </c>
      <c r="I16" s="122">
        <v>2867.594</v>
      </c>
      <c r="J16" s="122">
        <v>625.403</v>
      </c>
      <c r="K16" s="123">
        <v>37966.524</v>
      </c>
      <c r="L16" s="122">
        <v>9166.301</v>
      </c>
      <c r="M16" s="122">
        <v>11783.463</v>
      </c>
      <c r="N16" s="122">
        <v>41.137</v>
      </c>
      <c r="O16" s="122">
        <v>134.734</v>
      </c>
      <c r="P16" s="122">
        <v>89.327</v>
      </c>
      <c r="Q16" s="122">
        <v>246.95</v>
      </c>
      <c r="R16" s="122">
        <v>299.362</v>
      </c>
      <c r="S16" s="122">
        <v>175.6</v>
      </c>
      <c r="T16" s="122">
        <v>5617.176</v>
      </c>
      <c r="U16" s="122">
        <v>1415.165</v>
      </c>
      <c r="V16" s="122">
        <v>1147.469</v>
      </c>
      <c r="W16" s="122">
        <v>3228.071</v>
      </c>
      <c r="X16" s="122">
        <v>1218.602</v>
      </c>
      <c r="Y16" s="122">
        <v>15.02</v>
      </c>
      <c r="Z16" s="122">
        <v>198.861</v>
      </c>
      <c r="AA16" s="122">
        <v>1140.242</v>
      </c>
      <c r="AB16" s="122">
        <v>2442.674</v>
      </c>
      <c r="AC16" s="122">
        <v>31636.836</v>
      </c>
      <c r="AD16" s="98" t="s">
        <v>4</v>
      </c>
      <c r="AF16" s="138">
        <v>141.366015</v>
      </c>
    </row>
    <row r="17" spans="2:32" ht="15" customHeight="1">
      <c r="B17" s="121" t="s">
        <v>27</v>
      </c>
      <c r="C17" s="122">
        <v>257.299</v>
      </c>
      <c r="D17" s="122">
        <v>59.866</v>
      </c>
      <c r="E17" s="122">
        <v>138.904</v>
      </c>
      <c r="F17" s="122">
        <v>772.436</v>
      </c>
      <c r="G17" s="122">
        <v>1682.854</v>
      </c>
      <c r="H17" s="122">
        <v>195.649</v>
      </c>
      <c r="I17" s="122">
        <v>20.303</v>
      </c>
      <c r="J17" s="122">
        <v>417.353</v>
      </c>
      <c r="K17" s="122">
        <v>1119.005</v>
      </c>
      <c r="L17" s="122">
        <v>562.485</v>
      </c>
      <c r="M17" s="122">
        <v>512.792</v>
      </c>
      <c r="N17" s="122">
        <v>67.712</v>
      </c>
      <c r="O17" s="122">
        <v>444.426</v>
      </c>
      <c r="P17" s="122">
        <v>112.09</v>
      </c>
      <c r="Q17" s="122">
        <v>0.003</v>
      </c>
      <c r="R17" s="122">
        <v>202.203</v>
      </c>
      <c r="S17" s="122">
        <v>8.253</v>
      </c>
      <c r="T17" s="122">
        <v>482.97</v>
      </c>
      <c r="U17" s="122">
        <v>225.297</v>
      </c>
      <c r="V17" s="122">
        <v>227.344</v>
      </c>
      <c r="W17" s="122">
        <v>158.269</v>
      </c>
      <c r="X17" s="122">
        <v>29.777</v>
      </c>
      <c r="Y17" s="122">
        <v>21.789</v>
      </c>
      <c r="Z17" s="122">
        <v>0.563</v>
      </c>
      <c r="AA17" s="123">
        <v>2754.046</v>
      </c>
      <c r="AB17" s="122">
        <v>1364.989</v>
      </c>
      <c r="AC17" s="122">
        <v>1003.422</v>
      </c>
      <c r="AD17" s="98" t="s">
        <v>27</v>
      </c>
      <c r="AF17" s="138">
        <v>12.842099000000001</v>
      </c>
    </row>
    <row r="18" spans="2:32" ht="15" customHeight="1">
      <c r="B18" s="121" t="s">
        <v>5</v>
      </c>
      <c r="C18" s="125">
        <v>1514.492</v>
      </c>
      <c r="D18" s="125">
        <v>227.047</v>
      </c>
      <c r="E18" s="125">
        <v>1040.75</v>
      </c>
      <c r="F18" s="125">
        <v>1301.936</v>
      </c>
      <c r="G18" s="125">
        <v>8210.297</v>
      </c>
      <c r="H18" s="125">
        <v>15.451</v>
      </c>
      <c r="I18" s="125">
        <v>1505.078</v>
      </c>
      <c r="J18" s="125">
        <v>1826.281</v>
      </c>
      <c r="K18" s="125">
        <v>9963.681</v>
      </c>
      <c r="L18" s="123">
        <v>27718.735</v>
      </c>
      <c r="M18" s="125">
        <v>9240.968</v>
      </c>
      <c r="N18" s="125">
        <v>92.873</v>
      </c>
      <c r="O18" s="125">
        <v>122.286</v>
      </c>
      <c r="P18" s="125">
        <v>51.831</v>
      </c>
      <c r="Q18" s="125">
        <v>100.655</v>
      </c>
      <c r="R18" s="125">
        <v>527.522</v>
      </c>
      <c r="S18" s="125">
        <v>205.899</v>
      </c>
      <c r="T18" s="125">
        <v>2596.166</v>
      </c>
      <c r="U18" s="125">
        <v>1098.909</v>
      </c>
      <c r="V18" s="125">
        <v>855.189</v>
      </c>
      <c r="W18" s="125">
        <v>3320.047</v>
      </c>
      <c r="X18" s="125">
        <v>690.021</v>
      </c>
      <c r="Y18" s="125">
        <v>142.562</v>
      </c>
      <c r="Z18" s="125">
        <v>72.247</v>
      </c>
      <c r="AA18" s="125">
        <v>562.309</v>
      </c>
      <c r="AB18" s="125">
        <v>1067.892</v>
      </c>
      <c r="AC18" s="125">
        <v>10793.482</v>
      </c>
      <c r="AD18" s="98" t="s">
        <v>5</v>
      </c>
      <c r="AF18" s="138">
        <v>84.864606</v>
      </c>
    </row>
    <row r="19" spans="2:32" ht="15" customHeight="1">
      <c r="B19" s="121" t="s">
        <v>80</v>
      </c>
      <c r="C19" s="125">
        <v>298.217</v>
      </c>
      <c r="D19" s="125">
        <v>132.948</v>
      </c>
      <c r="E19" s="125">
        <v>147.331</v>
      </c>
      <c r="F19" s="125">
        <v>175.219</v>
      </c>
      <c r="G19" s="125">
        <v>1493.219</v>
      </c>
      <c r="H19" s="125">
        <v>0.078</v>
      </c>
      <c r="I19" s="125">
        <v>173.436</v>
      </c>
      <c r="J19" s="125">
        <v>273.455</v>
      </c>
      <c r="K19" s="125">
        <v>294.912</v>
      </c>
      <c r="L19" s="125">
        <v>505.5</v>
      </c>
      <c r="M19" s="125">
        <v>604.874</v>
      </c>
      <c r="N19" s="125">
        <v>79.223</v>
      </c>
      <c r="O19" s="125">
        <v>11.705</v>
      </c>
      <c r="P19" s="125">
        <v>0</v>
      </c>
      <c r="Q19" s="125">
        <v>0.1</v>
      </c>
      <c r="R19" s="123">
        <v>0.315</v>
      </c>
      <c r="S19" s="125">
        <v>16.438</v>
      </c>
      <c r="T19" s="125">
        <v>546.922</v>
      </c>
      <c r="U19" s="125">
        <v>78.491</v>
      </c>
      <c r="V19" s="125">
        <v>135.41</v>
      </c>
      <c r="W19" s="125">
        <v>70.197</v>
      </c>
      <c r="X19" s="125">
        <v>224.868</v>
      </c>
      <c r="Y19" s="125">
        <v>0.163</v>
      </c>
      <c r="Z19" s="125">
        <v>1.113</v>
      </c>
      <c r="AA19" s="125">
        <v>203.763</v>
      </c>
      <c r="AB19" s="125">
        <v>356.799</v>
      </c>
      <c r="AC19" s="125">
        <v>1043.424</v>
      </c>
      <c r="AD19" t="s">
        <v>80</v>
      </c>
      <c r="AF19" s="138">
        <v>6.86812</v>
      </c>
    </row>
    <row r="20" spans="2:32" ht="15" customHeight="1">
      <c r="B20" s="121" t="s">
        <v>6</v>
      </c>
      <c r="C20" s="122">
        <v>342.287</v>
      </c>
      <c r="D20" s="122">
        <v>44.325</v>
      </c>
      <c r="E20" s="122">
        <v>86.319</v>
      </c>
      <c r="F20" s="122">
        <v>200.388</v>
      </c>
      <c r="G20" s="122">
        <v>1371.415</v>
      </c>
      <c r="H20" s="122">
        <v>48.101</v>
      </c>
      <c r="I20" s="123">
        <v>113.912</v>
      </c>
      <c r="J20" s="122">
        <v>56.585</v>
      </c>
      <c r="K20" s="122">
        <v>2863.222</v>
      </c>
      <c r="L20" s="122">
        <v>1513.82</v>
      </c>
      <c r="M20" s="122">
        <v>903.404</v>
      </c>
      <c r="N20" s="122">
        <v>12.85</v>
      </c>
      <c r="O20" s="122">
        <v>122.5</v>
      </c>
      <c r="P20" s="122">
        <v>183.513</v>
      </c>
      <c r="Q20" s="122">
        <v>11.868</v>
      </c>
      <c r="R20" s="122">
        <v>172.959</v>
      </c>
      <c r="S20" s="122">
        <v>55.14</v>
      </c>
      <c r="T20" s="122">
        <v>746.536</v>
      </c>
      <c r="U20" s="122">
        <v>124.032</v>
      </c>
      <c r="V20" s="122">
        <v>949.103</v>
      </c>
      <c r="W20" s="122">
        <v>598.194</v>
      </c>
      <c r="X20" s="122">
        <v>74.927</v>
      </c>
      <c r="Y20" s="122">
        <v>1.945</v>
      </c>
      <c r="Z20" s="122">
        <v>89.089</v>
      </c>
      <c r="AA20" s="122">
        <v>20.26</v>
      </c>
      <c r="AB20" s="122">
        <v>123.755</v>
      </c>
      <c r="AC20" s="122">
        <v>9653.799</v>
      </c>
      <c r="AD20" s="98" t="s">
        <v>6</v>
      </c>
      <c r="AF20" s="138">
        <v>20.484248</v>
      </c>
    </row>
    <row r="21" spans="2:32" ht="15" customHeight="1">
      <c r="B21" s="121" t="s">
        <v>7</v>
      </c>
      <c r="C21" s="122">
        <v>2891.332</v>
      </c>
      <c r="D21" s="122">
        <v>359.932</v>
      </c>
      <c r="E21" s="122">
        <v>923.704</v>
      </c>
      <c r="F21" s="122">
        <v>947.393</v>
      </c>
      <c r="G21" s="122">
        <v>11069.331</v>
      </c>
      <c r="H21" s="122">
        <v>50.862</v>
      </c>
      <c r="I21" s="122">
        <v>900.643</v>
      </c>
      <c r="J21" s="122">
        <v>2334.185</v>
      </c>
      <c r="K21" s="122">
        <v>11772.99</v>
      </c>
      <c r="L21" s="122">
        <v>9218.189</v>
      </c>
      <c r="M21" s="123">
        <v>32009.58</v>
      </c>
      <c r="N21" s="122">
        <v>82.527</v>
      </c>
      <c r="O21" s="122">
        <v>316.736</v>
      </c>
      <c r="P21" s="122">
        <v>130.186</v>
      </c>
      <c r="Q21" s="122">
        <v>107.321</v>
      </c>
      <c r="R21" s="122">
        <v>602.746</v>
      </c>
      <c r="S21" s="122">
        <v>629.458</v>
      </c>
      <c r="T21" s="122">
        <v>3245.034</v>
      </c>
      <c r="U21" s="122">
        <v>1209.311</v>
      </c>
      <c r="V21" s="122">
        <v>1112.638</v>
      </c>
      <c r="W21" s="122">
        <v>1285.366</v>
      </c>
      <c r="X21" s="122">
        <v>2309.516</v>
      </c>
      <c r="Y21" s="122">
        <v>2.551</v>
      </c>
      <c r="Z21" s="122">
        <v>184.507</v>
      </c>
      <c r="AA21" s="122">
        <v>516.015</v>
      </c>
      <c r="AB21" s="122">
        <v>871.407</v>
      </c>
      <c r="AC21" s="122">
        <v>10251.751</v>
      </c>
      <c r="AD21" s="98" t="s">
        <v>7</v>
      </c>
      <c r="AF21" s="138">
        <v>95.33521100000003</v>
      </c>
    </row>
    <row r="22" spans="2:32" ht="15" customHeight="1">
      <c r="B22" s="121" t="s">
        <v>76</v>
      </c>
      <c r="C22" s="125">
        <v>81.285</v>
      </c>
      <c r="D22" s="125">
        <v>12.459</v>
      </c>
      <c r="E22" s="125">
        <v>66.524</v>
      </c>
      <c r="F22" s="125">
        <v>177.727</v>
      </c>
      <c r="G22" s="125">
        <v>285.456</v>
      </c>
      <c r="H22" s="125">
        <v>34.426</v>
      </c>
      <c r="I22" s="125">
        <v>177.322</v>
      </c>
      <c r="J22" s="125">
        <v>64.336</v>
      </c>
      <c r="K22" s="125">
        <v>88.038</v>
      </c>
      <c r="L22" s="125">
        <v>51.877</v>
      </c>
      <c r="M22" s="125">
        <v>129.67</v>
      </c>
      <c r="N22" s="129">
        <v>1.699</v>
      </c>
      <c r="O22" s="125">
        <v>235.709</v>
      </c>
      <c r="P22" s="123">
        <v>0.026</v>
      </c>
      <c r="Q22" s="125">
        <v>0.007</v>
      </c>
      <c r="R22" s="125">
        <v>0.007</v>
      </c>
      <c r="S22" s="125">
        <v>1.177</v>
      </c>
      <c r="T22" s="125">
        <v>54.036</v>
      </c>
      <c r="U22" s="125">
        <v>43.814</v>
      </c>
      <c r="V22" s="125">
        <v>60.82</v>
      </c>
      <c r="W22" s="125">
        <v>0.86</v>
      </c>
      <c r="X22" s="125">
        <v>0.009</v>
      </c>
      <c r="Y22" s="125">
        <v>1.181</v>
      </c>
      <c r="Z22" s="125">
        <v>0.009</v>
      </c>
      <c r="AA22" s="125">
        <v>112.024</v>
      </c>
      <c r="AB22" s="125">
        <v>75.326</v>
      </c>
      <c r="AC22" s="125">
        <v>557.282</v>
      </c>
      <c r="AD22" t="s">
        <v>76</v>
      </c>
      <c r="AF22" s="138">
        <v>2.3131060000000008</v>
      </c>
    </row>
    <row r="23" spans="2:32" ht="15" customHeight="1">
      <c r="B23" s="121" t="s">
        <v>8</v>
      </c>
      <c r="C23" s="122">
        <v>0.384</v>
      </c>
      <c r="D23" s="122">
        <v>22.194</v>
      </c>
      <c r="E23" s="122">
        <v>12.667</v>
      </c>
      <c r="F23" s="122">
        <v>57.911</v>
      </c>
      <c r="G23" s="122">
        <v>288.272</v>
      </c>
      <c r="H23" s="122">
        <v>0</v>
      </c>
      <c r="I23" s="122">
        <v>11.847</v>
      </c>
      <c r="J23" s="122">
        <v>56.892</v>
      </c>
      <c r="K23" s="122">
        <v>251.775</v>
      </c>
      <c r="L23" s="122">
        <v>103.505</v>
      </c>
      <c r="M23" s="122">
        <v>111.775</v>
      </c>
      <c r="N23" s="122">
        <v>8.038</v>
      </c>
      <c r="O23" s="128">
        <v>0.148</v>
      </c>
      <c r="P23" s="122">
        <v>0</v>
      </c>
      <c r="Q23" s="123">
        <v>0.547</v>
      </c>
      <c r="R23" s="122">
        <v>0.002</v>
      </c>
      <c r="S23" s="122">
        <v>3.195</v>
      </c>
      <c r="T23" s="122">
        <v>107.607</v>
      </c>
      <c r="U23" s="122">
        <v>57.681</v>
      </c>
      <c r="V23" s="122">
        <v>0.285</v>
      </c>
      <c r="W23" s="122">
        <v>159.293</v>
      </c>
      <c r="X23" s="122">
        <v>0.313</v>
      </c>
      <c r="Y23" s="122">
        <v>0</v>
      </c>
      <c r="Z23" s="122">
        <v>0.001</v>
      </c>
      <c r="AA23" s="122">
        <v>0</v>
      </c>
      <c r="AB23" s="122">
        <v>0.386</v>
      </c>
      <c r="AC23" s="122">
        <v>253.929</v>
      </c>
      <c r="AD23" s="98" t="s">
        <v>8</v>
      </c>
      <c r="AF23" s="138">
        <v>1.508647</v>
      </c>
    </row>
    <row r="24" spans="2:32" ht="15" customHeight="1">
      <c r="B24" s="121" t="s">
        <v>75</v>
      </c>
      <c r="C24" s="122">
        <v>152.362</v>
      </c>
      <c r="D24" s="122">
        <v>9.099</v>
      </c>
      <c r="E24" s="122">
        <v>56.016</v>
      </c>
      <c r="F24" s="122">
        <v>160.031</v>
      </c>
      <c r="G24" s="122">
        <v>588.924</v>
      </c>
      <c r="H24" s="122">
        <v>184.284</v>
      </c>
      <c r="I24" s="122">
        <v>122.508</v>
      </c>
      <c r="J24" s="122">
        <v>47.221</v>
      </c>
      <c r="K24" s="122">
        <v>134.774</v>
      </c>
      <c r="L24" s="122">
        <v>123.36</v>
      </c>
      <c r="M24" s="122">
        <v>316.908</v>
      </c>
      <c r="N24" s="128">
        <v>0.001</v>
      </c>
      <c r="O24" s="123">
        <v>0.418</v>
      </c>
      <c r="P24" s="122">
        <v>236.894</v>
      </c>
      <c r="Q24" s="122">
        <v>0.005</v>
      </c>
      <c r="R24" s="122">
        <v>11.678</v>
      </c>
      <c r="S24" s="128">
        <v>0</v>
      </c>
      <c r="T24" s="122">
        <v>94.392</v>
      </c>
      <c r="U24" s="122">
        <v>60.111</v>
      </c>
      <c r="V24" s="122">
        <v>83.47</v>
      </c>
      <c r="W24" s="122">
        <v>0.809</v>
      </c>
      <c r="X24" s="122">
        <v>1.645</v>
      </c>
      <c r="Y24" s="128">
        <v>0.35</v>
      </c>
      <c r="Z24" s="122">
        <v>0.245</v>
      </c>
      <c r="AA24" s="122">
        <v>467.264</v>
      </c>
      <c r="AB24" s="122">
        <v>226.544</v>
      </c>
      <c r="AC24" s="122">
        <v>585.079</v>
      </c>
      <c r="AD24" t="s">
        <v>75</v>
      </c>
      <c r="AF24" s="138">
        <v>3.664392</v>
      </c>
    </row>
    <row r="25" spans="2:32" ht="15" customHeight="1">
      <c r="B25" s="121" t="s">
        <v>177</v>
      </c>
      <c r="C25" s="122">
        <v>84.371</v>
      </c>
      <c r="D25" s="122">
        <v>12.363</v>
      </c>
      <c r="E25" s="122">
        <v>8.088</v>
      </c>
      <c r="F25" s="122">
        <v>60.828</v>
      </c>
      <c r="G25" s="122">
        <v>520.888</v>
      </c>
      <c r="H25" s="122">
        <v>0.554</v>
      </c>
      <c r="I25" s="122">
        <v>54.547</v>
      </c>
      <c r="J25" s="122">
        <v>16.491</v>
      </c>
      <c r="K25" s="122">
        <v>174.917</v>
      </c>
      <c r="L25" s="122">
        <v>198.512</v>
      </c>
      <c r="M25" s="122">
        <v>616.662</v>
      </c>
      <c r="N25" s="122">
        <v>32.1</v>
      </c>
      <c r="O25" s="128">
        <v>0</v>
      </c>
      <c r="P25" s="122">
        <v>1.173</v>
      </c>
      <c r="Q25" s="122">
        <v>2.767</v>
      </c>
      <c r="R25" s="122">
        <v>16.358</v>
      </c>
      <c r="S25" s="123">
        <v>0.025</v>
      </c>
      <c r="T25" s="122">
        <v>93.133</v>
      </c>
      <c r="U25" s="122">
        <v>67.854</v>
      </c>
      <c r="V25" s="122">
        <v>25.796</v>
      </c>
      <c r="W25" s="122">
        <v>0.124</v>
      </c>
      <c r="X25" s="122">
        <v>6.684</v>
      </c>
      <c r="Y25" s="122">
        <v>5.564</v>
      </c>
      <c r="Z25" s="122">
        <v>2.476</v>
      </c>
      <c r="AA25" s="122">
        <v>8.183</v>
      </c>
      <c r="AB25" s="122">
        <v>69.666</v>
      </c>
      <c r="AC25" s="122">
        <v>1086.119</v>
      </c>
      <c r="AD25" t="s">
        <v>177</v>
      </c>
      <c r="AF25" s="138">
        <v>3.1662430000000006</v>
      </c>
    </row>
    <row r="26" spans="2:32" ht="15" customHeight="1">
      <c r="B26" s="121" t="s">
        <v>9</v>
      </c>
      <c r="C26" s="125">
        <v>188.31</v>
      </c>
      <c r="D26" s="125">
        <v>187.624</v>
      </c>
      <c r="E26" s="125">
        <v>544.135</v>
      </c>
      <c r="F26" s="125">
        <v>1158.696</v>
      </c>
      <c r="G26" s="125">
        <v>3322.269</v>
      </c>
      <c r="H26" s="125">
        <v>56.076</v>
      </c>
      <c r="I26" s="125">
        <v>742.944</v>
      </c>
      <c r="J26" s="125">
        <v>1269.225</v>
      </c>
      <c r="K26" s="125">
        <v>5624.373</v>
      </c>
      <c r="L26" s="125">
        <v>2619.398</v>
      </c>
      <c r="M26" s="125">
        <v>3245.32</v>
      </c>
      <c r="N26" s="125">
        <v>102.975</v>
      </c>
      <c r="O26" s="125">
        <v>96.515</v>
      </c>
      <c r="P26" s="125">
        <v>54.095</v>
      </c>
      <c r="Q26" s="125">
        <v>105.753</v>
      </c>
      <c r="R26" s="125">
        <v>547.229</v>
      </c>
      <c r="S26" s="125">
        <v>95.961</v>
      </c>
      <c r="T26" s="123">
        <v>0.8</v>
      </c>
      <c r="U26" s="125">
        <v>687.817</v>
      </c>
      <c r="V26" s="125">
        <v>498.95</v>
      </c>
      <c r="W26" s="125">
        <v>1191.46</v>
      </c>
      <c r="X26" s="125">
        <v>333.441</v>
      </c>
      <c r="Y26" s="125">
        <v>25.275</v>
      </c>
      <c r="Z26" s="125">
        <v>9.216</v>
      </c>
      <c r="AA26" s="125">
        <v>488.455</v>
      </c>
      <c r="AB26" s="125">
        <v>996.222</v>
      </c>
      <c r="AC26" s="125">
        <v>7671.105</v>
      </c>
      <c r="AD26" s="98" t="s">
        <v>9</v>
      </c>
      <c r="AF26" s="138">
        <v>31.863639</v>
      </c>
    </row>
    <row r="27" spans="2:32" ht="15" customHeight="1">
      <c r="B27" s="121" t="s">
        <v>83</v>
      </c>
      <c r="C27" s="125">
        <v>418.172</v>
      </c>
      <c r="D27" s="125">
        <v>223.594</v>
      </c>
      <c r="E27" s="125">
        <v>217.256</v>
      </c>
      <c r="F27" s="125">
        <v>364.272</v>
      </c>
      <c r="G27" s="125">
        <v>2861</v>
      </c>
      <c r="H27" s="125">
        <v>21.611</v>
      </c>
      <c r="I27" s="125">
        <v>939.97</v>
      </c>
      <c r="J27" s="125">
        <v>678.118</v>
      </c>
      <c r="K27" s="125">
        <v>1129.135</v>
      </c>
      <c r="L27" s="125">
        <v>871.179</v>
      </c>
      <c r="M27" s="125">
        <v>1114.749</v>
      </c>
      <c r="N27" s="125">
        <v>68.192</v>
      </c>
      <c r="O27" s="125">
        <v>83.831</v>
      </c>
      <c r="P27" s="125">
        <v>60.864</v>
      </c>
      <c r="Q27" s="125">
        <v>0.381</v>
      </c>
      <c r="R27" s="125">
        <v>133.981</v>
      </c>
      <c r="S27" s="125">
        <v>25.975</v>
      </c>
      <c r="T27" s="125">
        <v>499.529</v>
      </c>
      <c r="U27" s="125">
        <v>288.502</v>
      </c>
      <c r="V27" s="123">
        <v>1118.727</v>
      </c>
      <c r="W27" s="125">
        <v>123.551</v>
      </c>
      <c r="X27" s="125">
        <v>66.101</v>
      </c>
      <c r="Y27" s="125">
        <v>5.644</v>
      </c>
      <c r="Z27" s="125">
        <v>3.951</v>
      </c>
      <c r="AA27" s="125">
        <v>228.562</v>
      </c>
      <c r="AB27" s="125">
        <v>578.004</v>
      </c>
      <c r="AC27" s="125">
        <v>4288.57</v>
      </c>
      <c r="AD27" t="s">
        <v>83</v>
      </c>
      <c r="AF27" s="138">
        <v>16.413421000000003</v>
      </c>
    </row>
    <row r="28" spans="2:32" ht="15" customHeight="1">
      <c r="B28" s="121" t="s">
        <v>11</v>
      </c>
      <c r="C28" s="122">
        <v>753.942</v>
      </c>
      <c r="D28" s="122">
        <v>4.261</v>
      </c>
      <c r="E28" s="122">
        <v>68.665</v>
      </c>
      <c r="F28" s="122">
        <v>223.828</v>
      </c>
      <c r="G28" s="122">
        <v>2664.166</v>
      </c>
      <c r="H28" s="122">
        <v>4.808</v>
      </c>
      <c r="I28" s="122">
        <v>598.431</v>
      </c>
      <c r="J28" s="122">
        <v>31.663</v>
      </c>
      <c r="K28" s="122">
        <v>3276.789</v>
      </c>
      <c r="L28" s="122">
        <v>3209.088</v>
      </c>
      <c r="M28" s="122">
        <v>1290.431</v>
      </c>
      <c r="N28" s="122">
        <v>1.929</v>
      </c>
      <c r="O28" s="122">
        <v>0.768</v>
      </c>
      <c r="P28" s="122">
        <v>1.017</v>
      </c>
      <c r="Q28" s="122">
        <v>169.859</v>
      </c>
      <c r="R28" s="122">
        <v>56.983</v>
      </c>
      <c r="S28" s="122">
        <v>0.153</v>
      </c>
      <c r="T28" s="122">
        <v>1188.42</v>
      </c>
      <c r="U28" s="122">
        <v>85.41</v>
      </c>
      <c r="V28" s="122">
        <v>125.876</v>
      </c>
      <c r="W28" s="123">
        <v>2898.001</v>
      </c>
      <c r="X28" s="122">
        <v>14.324</v>
      </c>
      <c r="Y28" s="122">
        <v>0.37</v>
      </c>
      <c r="Z28" s="122">
        <v>3.657</v>
      </c>
      <c r="AA28" s="122">
        <v>161.409</v>
      </c>
      <c r="AB28" s="122">
        <v>143.213</v>
      </c>
      <c r="AC28" s="122">
        <v>5368.292</v>
      </c>
      <c r="AD28" s="98" t="s">
        <v>11</v>
      </c>
      <c r="AF28" s="138">
        <v>22.345753000000002</v>
      </c>
    </row>
    <row r="29" spans="2:32" ht="15" customHeight="1">
      <c r="B29" s="121" t="s">
        <v>105</v>
      </c>
      <c r="C29" s="125">
        <v>233.704</v>
      </c>
      <c r="D29" s="125">
        <v>38.24</v>
      </c>
      <c r="E29" s="125">
        <v>111.528</v>
      </c>
      <c r="F29" s="125">
        <v>21.257</v>
      </c>
      <c r="G29" s="125">
        <v>1256.688</v>
      </c>
      <c r="H29" s="125">
        <v>0.084</v>
      </c>
      <c r="I29" s="125">
        <v>71.997</v>
      </c>
      <c r="J29" s="125">
        <v>231.699</v>
      </c>
      <c r="K29" s="125">
        <v>1144.303</v>
      </c>
      <c r="L29" s="125">
        <v>659.42</v>
      </c>
      <c r="M29" s="125">
        <v>2153.969</v>
      </c>
      <c r="N29" s="125">
        <v>158.878</v>
      </c>
      <c r="O29" s="125">
        <v>1.733</v>
      </c>
      <c r="P29" s="125">
        <v>0.009</v>
      </c>
      <c r="Q29" s="125">
        <v>0.33</v>
      </c>
      <c r="R29" s="125">
        <v>176.571</v>
      </c>
      <c r="S29" s="125">
        <v>6.202</v>
      </c>
      <c r="T29" s="125">
        <v>330.707</v>
      </c>
      <c r="U29" s="125">
        <v>501.682</v>
      </c>
      <c r="V29" s="125">
        <v>70.722</v>
      </c>
      <c r="W29" s="125">
        <v>13.278</v>
      </c>
      <c r="X29" s="123">
        <v>736.139</v>
      </c>
      <c r="Y29" s="125">
        <v>0.155</v>
      </c>
      <c r="Z29" s="125">
        <v>0.031</v>
      </c>
      <c r="AA29" s="125">
        <v>32.077</v>
      </c>
      <c r="AB29" s="125">
        <v>0.001</v>
      </c>
      <c r="AC29" s="125">
        <v>661.329</v>
      </c>
      <c r="AD29" t="s">
        <v>105</v>
      </c>
      <c r="AF29" s="138">
        <v>8.612733000000002</v>
      </c>
    </row>
    <row r="30" spans="2:32" ht="15" customHeight="1">
      <c r="B30" s="121" t="s">
        <v>12</v>
      </c>
      <c r="C30" s="130">
        <v>454.465</v>
      </c>
      <c r="D30" s="125">
        <v>47.213</v>
      </c>
      <c r="E30" s="125">
        <v>175.875</v>
      </c>
      <c r="F30" s="125">
        <v>1588.774</v>
      </c>
      <c r="G30" s="125">
        <v>2710.015</v>
      </c>
      <c r="H30" s="125">
        <v>160.549</v>
      </c>
      <c r="I30" s="125">
        <v>123.631</v>
      </c>
      <c r="J30" s="125">
        <v>757.853</v>
      </c>
      <c r="K30" s="125">
        <v>2364.925</v>
      </c>
      <c r="L30" s="125">
        <v>1079.223</v>
      </c>
      <c r="M30" s="125">
        <v>894.02</v>
      </c>
      <c r="N30" s="125">
        <v>203.045</v>
      </c>
      <c r="O30" s="125">
        <v>226.16</v>
      </c>
      <c r="P30" s="125">
        <v>76.198</v>
      </c>
      <c r="Q30" s="125">
        <v>0.65</v>
      </c>
      <c r="R30" s="125">
        <v>356.689</v>
      </c>
      <c r="S30" s="125">
        <v>68.515</v>
      </c>
      <c r="T30" s="125">
        <v>908.227</v>
      </c>
      <c r="U30" s="125">
        <v>420.269</v>
      </c>
      <c r="V30" s="125">
        <v>577.855</v>
      </c>
      <c r="W30" s="125">
        <v>140.001</v>
      </c>
      <c r="X30" s="125">
        <v>0.286</v>
      </c>
      <c r="Y30" s="125">
        <v>5.198</v>
      </c>
      <c r="Z30" s="125">
        <v>5.472</v>
      </c>
      <c r="AA30" s="125">
        <v>1367.905</v>
      </c>
      <c r="AB30" s="123">
        <v>6929.845</v>
      </c>
      <c r="AC30" s="125">
        <v>2532.08</v>
      </c>
      <c r="AD30" s="98" t="s">
        <v>12</v>
      </c>
      <c r="AF30" s="138">
        <v>24.174938</v>
      </c>
    </row>
    <row r="31" spans="2:32" ht="15" customHeight="1">
      <c r="B31" s="121" t="s">
        <v>85</v>
      </c>
      <c r="C31" s="122">
        <v>56.361</v>
      </c>
      <c r="D31" s="122">
        <v>7.703</v>
      </c>
      <c r="E31" s="122">
        <v>37.435</v>
      </c>
      <c r="F31" s="122">
        <v>18.117</v>
      </c>
      <c r="G31" s="122">
        <v>199.179</v>
      </c>
      <c r="H31" s="122">
        <v>0.489</v>
      </c>
      <c r="I31" s="122">
        <v>1.851</v>
      </c>
      <c r="J31" s="122">
        <v>66.986</v>
      </c>
      <c r="K31" s="122">
        <v>15.04</v>
      </c>
      <c r="L31" s="122">
        <v>144.111</v>
      </c>
      <c r="M31" s="122">
        <v>1.928</v>
      </c>
      <c r="N31" s="122">
        <v>5.12</v>
      </c>
      <c r="O31" s="128">
        <v>0.417</v>
      </c>
      <c r="P31" s="122">
        <v>1.183</v>
      </c>
      <c r="Q31" s="128">
        <v>0</v>
      </c>
      <c r="R31" s="122">
        <v>0.046</v>
      </c>
      <c r="S31" s="122">
        <v>5.584</v>
      </c>
      <c r="T31" s="122">
        <v>25.269</v>
      </c>
      <c r="U31" s="122">
        <v>59.98</v>
      </c>
      <c r="V31" s="122">
        <v>5.471</v>
      </c>
      <c r="W31" s="122">
        <v>0.043</v>
      </c>
      <c r="X31" s="122">
        <v>0.168</v>
      </c>
      <c r="Y31" s="123">
        <v>0.119</v>
      </c>
      <c r="Z31" s="122">
        <v>0.04</v>
      </c>
      <c r="AA31" s="122">
        <v>22.077</v>
      </c>
      <c r="AB31" s="122">
        <v>5.137</v>
      </c>
      <c r="AC31" s="122">
        <v>126.002</v>
      </c>
      <c r="AD31" t="s">
        <v>85</v>
      </c>
      <c r="AF31" s="138">
        <v>0.8058559999999999</v>
      </c>
    </row>
    <row r="32" spans="2:32" ht="15" customHeight="1">
      <c r="B32" s="121" t="s">
        <v>179</v>
      </c>
      <c r="C32" s="125">
        <v>70.243</v>
      </c>
      <c r="D32" s="125">
        <v>66.172</v>
      </c>
      <c r="E32" s="125">
        <v>104.528</v>
      </c>
      <c r="F32" s="125">
        <v>0.146</v>
      </c>
      <c r="G32" s="125">
        <v>2.169</v>
      </c>
      <c r="H32" s="129">
        <v>0.415</v>
      </c>
      <c r="I32" s="125">
        <v>87.265</v>
      </c>
      <c r="J32" s="125">
        <v>100.976</v>
      </c>
      <c r="K32" s="125">
        <v>201.901</v>
      </c>
      <c r="L32" s="125">
        <v>72.477</v>
      </c>
      <c r="M32" s="125">
        <v>185.851</v>
      </c>
      <c r="N32" s="125">
        <v>10.002</v>
      </c>
      <c r="O32" s="125">
        <v>0.111</v>
      </c>
      <c r="P32" s="125">
        <v>0.001</v>
      </c>
      <c r="Q32" s="125">
        <v>0.016</v>
      </c>
      <c r="R32" s="125">
        <v>0.139</v>
      </c>
      <c r="S32" s="125">
        <v>2.496</v>
      </c>
      <c r="T32" s="125">
        <v>9.142</v>
      </c>
      <c r="U32" s="125">
        <v>43.092</v>
      </c>
      <c r="V32" s="125">
        <v>3.241</v>
      </c>
      <c r="W32" s="125">
        <v>2.839</v>
      </c>
      <c r="X32" s="125">
        <v>0.054</v>
      </c>
      <c r="Y32" s="125">
        <v>0.038</v>
      </c>
      <c r="Z32" s="123">
        <v>34.134</v>
      </c>
      <c r="AA32" s="125">
        <v>0.565</v>
      </c>
      <c r="AB32" s="125">
        <v>5.724</v>
      </c>
      <c r="AC32" s="125">
        <v>465.013</v>
      </c>
      <c r="AD32" t="s">
        <v>179</v>
      </c>
      <c r="AF32" s="138">
        <v>1.46875</v>
      </c>
    </row>
    <row r="33" spans="2:32" ht="15" customHeight="1">
      <c r="B33" s="131" t="s">
        <v>180</v>
      </c>
      <c r="C33" s="132">
        <v>1233.326</v>
      </c>
      <c r="D33" s="133">
        <v>878.057</v>
      </c>
      <c r="E33" s="133">
        <v>1294.752</v>
      </c>
      <c r="F33" s="133">
        <v>2565.462</v>
      </c>
      <c r="G33" s="133">
        <v>11626.293</v>
      </c>
      <c r="H33" s="133">
        <v>244.073</v>
      </c>
      <c r="I33" s="133">
        <v>9670.591</v>
      </c>
      <c r="J33" s="133">
        <v>4778.358</v>
      </c>
      <c r="K33" s="133">
        <v>31467.848</v>
      </c>
      <c r="L33" s="133">
        <v>10840.56</v>
      </c>
      <c r="M33" s="133">
        <v>10254.679</v>
      </c>
      <c r="N33" s="133">
        <v>2658.86</v>
      </c>
      <c r="O33" s="133">
        <v>584.239</v>
      </c>
      <c r="P33" s="133">
        <v>564.041</v>
      </c>
      <c r="Q33" s="133">
        <v>251.733</v>
      </c>
      <c r="R33" s="133">
        <v>1037.318</v>
      </c>
      <c r="S33" s="133">
        <v>1091.084</v>
      </c>
      <c r="T33" s="133">
        <v>7515.525</v>
      </c>
      <c r="U33" s="133">
        <v>1704.248</v>
      </c>
      <c r="V33" s="133">
        <v>4260.127</v>
      </c>
      <c r="W33" s="133">
        <v>5329.203</v>
      </c>
      <c r="X33" s="133">
        <v>717.069</v>
      </c>
      <c r="Y33" s="133">
        <v>126.289</v>
      </c>
      <c r="Z33" s="133">
        <v>468.821</v>
      </c>
      <c r="AA33" s="133">
        <v>1009.508</v>
      </c>
      <c r="AB33" s="133">
        <v>2539.793</v>
      </c>
      <c r="AC33" s="134">
        <v>20920.644</v>
      </c>
      <c r="AD33" s="98" t="s">
        <v>180</v>
      </c>
      <c r="AF33" s="138">
        <v>135.632501</v>
      </c>
    </row>
    <row r="34" spans="31:32" ht="12.75">
      <c r="AE34" s="112" t="s">
        <v>161</v>
      </c>
      <c r="AF34" s="139">
        <f>SUM(AF7:AF33)</f>
        <v>829.190783</v>
      </c>
    </row>
    <row r="35" spans="31:32" ht="12.75">
      <c r="AE35" s="112" t="s">
        <v>162</v>
      </c>
      <c r="AF35" s="139">
        <f>AF7+AF8+AF12+AF13+AF15+AF16+AF17+AF18+AF20+AF21+AF23+AF26+AF28+AF30+AF33</f>
        <v>764.735189</v>
      </c>
    </row>
    <row r="36" spans="2:30" ht="15" customHeight="1">
      <c r="B36" s="121" t="s">
        <v>181</v>
      </c>
      <c r="C36" s="126">
        <v>95.91</v>
      </c>
      <c r="D36" s="126">
        <v>2.751</v>
      </c>
      <c r="E36" s="126">
        <v>41.366</v>
      </c>
      <c r="F36" s="126">
        <v>81.174</v>
      </c>
      <c r="G36" s="126">
        <v>1230.908</v>
      </c>
      <c r="H36" s="126">
        <v>0.004</v>
      </c>
      <c r="I36" s="126">
        <v>66.817</v>
      </c>
      <c r="J36" s="126">
        <v>14.319</v>
      </c>
      <c r="K36" s="126">
        <v>158.273</v>
      </c>
      <c r="L36" s="126">
        <v>436.835</v>
      </c>
      <c r="M36" s="126">
        <v>159.463</v>
      </c>
      <c r="N36" s="126">
        <v>0.147</v>
      </c>
      <c r="O36" s="126">
        <v>0.159</v>
      </c>
      <c r="P36" s="127">
        <v>0</v>
      </c>
      <c r="Q36" s="126">
        <v>0.08</v>
      </c>
      <c r="R36" s="126">
        <v>45.486</v>
      </c>
      <c r="S36" s="126">
        <v>3.545</v>
      </c>
      <c r="T36" s="126">
        <v>89.87</v>
      </c>
      <c r="U36" s="126">
        <v>274.175</v>
      </c>
      <c r="V36" s="126">
        <v>17.462</v>
      </c>
      <c r="W36" s="126">
        <v>22.995</v>
      </c>
      <c r="X36" s="126">
        <v>2.846</v>
      </c>
      <c r="Y36" s="126">
        <v>3.396</v>
      </c>
      <c r="Z36" s="126">
        <v>3.201</v>
      </c>
      <c r="AA36" s="126">
        <v>46.297</v>
      </c>
      <c r="AB36" s="126">
        <v>130.646</v>
      </c>
      <c r="AC36" s="126">
        <v>630.744</v>
      </c>
      <c r="AD36" s="124" t="s">
        <v>181</v>
      </c>
    </row>
    <row r="42" ht="8.25" customHeight="1"/>
    <row r="43" ht="12.75">
      <c r="B43" s="135" t="s">
        <v>182</v>
      </c>
    </row>
    <row r="44" spans="2:3" ht="12.75">
      <c r="B44" s="136" t="s">
        <v>183</v>
      </c>
      <c r="C44" t="s">
        <v>184</v>
      </c>
    </row>
  </sheetData>
  <sheetProtection/>
  <mergeCells count="3">
    <mergeCell ref="B2:AD2"/>
    <mergeCell ref="B3:AD3"/>
    <mergeCell ref="B4:AD4"/>
  </mergeCells>
  <printOptions/>
  <pageMargins left="0.25" right="0.25" top="0.75" bottom="0.75" header="0.3" footer="0.3"/>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rgb="FFFFFF00"/>
  </sheetPr>
  <dimension ref="A1:N48"/>
  <sheetViews>
    <sheetView zoomScalePageLayoutView="0" workbookViewId="0" topLeftCell="A1">
      <selection activeCell="B36" sqref="B10:B36"/>
    </sheetView>
  </sheetViews>
  <sheetFormatPr defaultColWidth="9.140625" defaultRowHeight="12.75"/>
  <cols>
    <col min="1" max="3" width="9.140625" style="443" customWidth="1"/>
    <col min="4" max="4" width="2.140625" style="443" customWidth="1"/>
    <col min="5" max="5" width="9.140625" style="443" customWidth="1"/>
    <col min="6" max="6" width="1.57421875" style="443" customWidth="1"/>
    <col min="7" max="7" width="9.140625" style="443" customWidth="1"/>
    <col min="8" max="8" width="1.57421875" style="443" customWidth="1"/>
    <col min="9" max="9" width="9.140625" style="443" customWidth="1"/>
    <col min="10" max="10" width="2.421875" style="443" customWidth="1"/>
    <col min="11" max="11" width="9.140625" style="443" customWidth="1"/>
    <col min="12" max="12" width="1.7109375" style="443" customWidth="1"/>
    <col min="13" max="13" width="9.140625" style="443" customWidth="1"/>
    <col min="14" max="14" width="2.8515625" style="443" customWidth="1"/>
    <col min="15" max="16384" width="9.140625" style="443" customWidth="1"/>
  </cols>
  <sheetData>
    <row r="1" spans="1:14" ht="15.75">
      <c r="A1" s="442"/>
      <c r="M1" s="444" t="s">
        <v>98</v>
      </c>
      <c r="N1" s="444"/>
    </row>
    <row r="2" spans="1:14" ht="15.75">
      <c r="A2" s="445"/>
      <c r="B2" s="1067" t="s">
        <v>235</v>
      </c>
      <c r="C2" s="1067"/>
      <c r="D2" s="1067"/>
      <c r="E2" s="1067"/>
      <c r="F2" s="1067"/>
      <c r="G2" s="1067"/>
      <c r="H2" s="1067"/>
      <c r="I2" s="1067"/>
      <c r="J2" s="1067"/>
      <c r="K2" s="1067"/>
      <c r="L2" s="1067"/>
      <c r="M2" s="1067"/>
      <c r="N2" s="446"/>
    </row>
    <row r="3" spans="1:12" ht="12.75" customHeight="1">
      <c r="A3" s="442"/>
      <c r="B3" s="447"/>
      <c r="C3" s="1068" t="s">
        <v>17</v>
      </c>
      <c r="D3" s="1069"/>
      <c r="E3" s="1068" t="s">
        <v>236</v>
      </c>
      <c r="F3" s="1069"/>
      <c r="G3" s="1072" t="s">
        <v>237</v>
      </c>
      <c r="H3" s="1073"/>
      <c r="I3" s="1076" t="s">
        <v>238</v>
      </c>
      <c r="J3" s="1077"/>
      <c r="K3" s="1077"/>
      <c r="L3" s="1078"/>
    </row>
    <row r="4" spans="1:12" ht="12.75">
      <c r="A4" s="442"/>
      <c r="B4" s="447"/>
      <c r="C4" s="1070"/>
      <c r="D4" s="1071"/>
      <c r="E4" s="1070"/>
      <c r="F4" s="1071"/>
      <c r="G4" s="1074"/>
      <c r="H4" s="1075"/>
      <c r="I4" s="1058" t="s">
        <v>239</v>
      </c>
      <c r="J4" s="1059"/>
      <c r="K4" s="1059"/>
      <c r="L4" s="1060"/>
    </row>
    <row r="5" spans="1:12" ht="12.75">
      <c r="A5" s="442"/>
      <c r="B5" s="447"/>
      <c r="C5" s="450" t="s">
        <v>240</v>
      </c>
      <c r="D5" s="451"/>
      <c r="E5" s="452" t="s">
        <v>0</v>
      </c>
      <c r="F5" s="448"/>
      <c r="G5" s="453" t="s">
        <v>241</v>
      </c>
      <c r="H5" s="449"/>
      <c r="I5" s="1058" t="s">
        <v>242</v>
      </c>
      <c r="J5" s="1059"/>
      <c r="K5" s="1059"/>
      <c r="L5" s="1060"/>
    </row>
    <row r="6" spans="1:12" ht="12.75">
      <c r="A6" s="442"/>
      <c r="B6" s="447"/>
      <c r="C6" s="454"/>
      <c r="D6" s="455"/>
      <c r="E6" s="456" t="s">
        <v>243</v>
      </c>
      <c r="F6" s="457"/>
      <c r="G6" s="453">
        <v>2011</v>
      </c>
      <c r="H6" s="449"/>
      <c r="I6" s="458">
        <v>2010</v>
      </c>
      <c r="J6" s="459"/>
      <c r="K6" s="460">
        <v>2011</v>
      </c>
      <c r="L6" s="461"/>
    </row>
    <row r="7" spans="1:14" ht="12.75">
      <c r="A7" s="442"/>
      <c r="B7" s="462" t="s">
        <v>161</v>
      </c>
      <c r="C7" s="463">
        <v>4324.817999999999</v>
      </c>
      <c r="D7" s="464"/>
      <c r="E7" s="465">
        <v>501.7425860000001</v>
      </c>
      <c r="F7" s="466"/>
      <c r="G7" s="467">
        <v>12651.028</v>
      </c>
      <c r="H7" s="468"/>
      <c r="I7" s="469">
        <v>100</v>
      </c>
      <c r="J7" s="470"/>
      <c r="K7" s="471">
        <v>100</v>
      </c>
      <c r="L7" s="472"/>
      <c r="M7" s="462" t="s">
        <v>161</v>
      </c>
      <c r="N7" s="473"/>
    </row>
    <row r="8" spans="1:14" ht="12.75">
      <c r="A8" s="442"/>
      <c r="B8" s="474" t="s">
        <v>162</v>
      </c>
      <c r="C8" s="475">
        <v>3236.8820000000005</v>
      </c>
      <c r="D8" s="476"/>
      <c r="E8" s="477">
        <v>398.93076800000006</v>
      </c>
      <c r="F8" s="478"/>
      <c r="G8" s="479">
        <v>11653.589899999999</v>
      </c>
      <c r="H8" s="480"/>
      <c r="I8" s="481">
        <v>110</v>
      </c>
      <c r="J8" s="482"/>
      <c r="K8" s="482">
        <v>110</v>
      </c>
      <c r="L8" s="483"/>
      <c r="M8" s="474" t="s">
        <v>162</v>
      </c>
      <c r="N8" s="473"/>
    </row>
    <row r="9" spans="1:14" ht="12.75">
      <c r="A9" s="442"/>
      <c r="B9" s="484" t="s">
        <v>163</v>
      </c>
      <c r="C9" s="485">
        <v>1087.936</v>
      </c>
      <c r="D9" s="486"/>
      <c r="E9" s="487">
        <v>102.811818</v>
      </c>
      <c r="F9" s="488"/>
      <c r="G9" s="489">
        <v>997.4381000000012</v>
      </c>
      <c r="H9" s="490"/>
      <c r="I9" s="491">
        <v>61</v>
      </c>
      <c r="J9" s="492"/>
      <c r="K9" s="492">
        <v>62</v>
      </c>
      <c r="L9" s="493"/>
      <c r="M9" s="484" t="s">
        <v>163</v>
      </c>
      <c r="N9" s="473"/>
    </row>
    <row r="10" spans="1:14" ht="12.75">
      <c r="A10" s="442"/>
      <c r="B10" s="494" t="s">
        <v>61</v>
      </c>
      <c r="C10" s="495">
        <v>30.528</v>
      </c>
      <c r="D10" s="496"/>
      <c r="E10" s="497">
        <v>11.041266</v>
      </c>
      <c r="F10" s="498"/>
      <c r="G10" s="499">
        <v>369.836</v>
      </c>
      <c r="H10" s="500"/>
      <c r="I10" s="501">
        <v>118.77551020408164</v>
      </c>
      <c r="J10" s="501"/>
      <c r="K10" s="501">
        <v>118.25396825396825</v>
      </c>
      <c r="L10" s="502"/>
      <c r="M10" s="494" t="s">
        <v>61</v>
      </c>
      <c r="N10" s="503"/>
    </row>
    <row r="11" spans="1:14" ht="12.75">
      <c r="A11" s="442"/>
      <c r="B11" s="474" t="s">
        <v>102</v>
      </c>
      <c r="C11" s="504">
        <v>111.002</v>
      </c>
      <c r="D11" s="505"/>
      <c r="E11" s="506">
        <v>7.327224</v>
      </c>
      <c r="F11" s="507"/>
      <c r="G11" s="508">
        <v>38.4832</v>
      </c>
      <c r="H11" s="509"/>
      <c r="I11" s="510">
        <v>43.673469387755105</v>
      </c>
      <c r="J11" s="510"/>
      <c r="K11" s="511">
        <v>44.787250920053076</v>
      </c>
      <c r="L11" s="512"/>
      <c r="M11" s="474" t="s">
        <v>102</v>
      </c>
      <c r="N11" s="473"/>
    </row>
    <row r="12" spans="1:14" ht="12.75">
      <c r="A12" s="442"/>
      <c r="B12" s="494" t="s">
        <v>62</v>
      </c>
      <c r="C12" s="495">
        <v>78.868</v>
      </c>
      <c r="D12" s="496"/>
      <c r="E12" s="497">
        <v>10.505445</v>
      </c>
      <c r="F12" s="498"/>
      <c r="G12" s="499">
        <v>156.21679999999998</v>
      </c>
      <c r="H12" s="500"/>
      <c r="I12" s="501">
        <v>80</v>
      </c>
      <c r="J12" s="501"/>
      <c r="K12" s="501">
        <v>80.15873015873017</v>
      </c>
      <c r="L12" s="502"/>
      <c r="M12" s="494" t="s">
        <v>62</v>
      </c>
      <c r="N12" s="503"/>
    </row>
    <row r="13" spans="1:14" ht="12.75">
      <c r="A13" s="442"/>
      <c r="B13" s="474" t="s">
        <v>14</v>
      </c>
      <c r="C13" s="504">
        <v>43.098</v>
      </c>
      <c r="D13" s="505"/>
      <c r="E13" s="506">
        <v>5.580516</v>
      </c>
      <c r="F13" s="507"/>
      <c r="G13" s="508">
        <v>240.4528</v>
      </c>
      <c r="H13" s="509"/>
      <c r="I13" s="510">
        <v>126.93877551020407</v>
      </c>
      <c r="J13" s="510"/>
      <c r="K13" s="510">
        <v>125.39682539682539</v>
      </c>
      <c r="L13" s="512"/>
      <c r="M13" s="474" t="s">
        <v>14</v>
      </c>
      <c r="N13" s="473"/>
    </row>
    <row r="14" spans="1:14" ht="12.75">
      <c r="A14" s="442"/>
      <c r="B14" s="494" t="s">
        <v>64</v>
      </c>
      <c r="C14" s="495">
        <v>357.104</v>
      </c>
      <c r="D14" s="496"/>
      <c r="E14" s="497">
        <v>81.843743</v>
      </c>
      <c r="F14" s="498"/>
      <c r="G14" s="499">
        <v>2592.6</v>
      </c>
      <c r="H14" s="500"/>
      <c r="I14" s="501">
        <v>118.36734693877551</v>
      </c>
      <c r="J14" s="501"/>
      <c r="K14" s="501">
        <v>120.23809523809523</v>
      </c>
      <c r="L14" s="502"/>
      <c r="M14" s="494" t="s">
        <v>64</v>
      </c>
      <c r="N14" s="503"/>
    </row>
    <row r="15" spans="1:14" ht="12.75">
      <c r="A15" s="442"/>
      <c r="B15" s="474" t="s">
        <v>65</v>
      </c>
      <c r="C15" s="504">
        <v>45.227</v>
      </c>
      <c r="D15" s="505"/>
      <c r="E15" s="506">
        <v>1.339662</v>
      </c>
      <c r="F15" s="507"/>
      <c r="G15" s="508">
        <v>15.9514</v>
      </c>
      <c r="H15" s="509"/>
      <c r="I15" s="510">
        <v>64.08163265306122</v>
      </c>
      <c r="J15" s="510"/>
      <c r="K15" s="510">
        <v>66.66666666666666</v>
      </c>
      <c r="L15" s="512"/>
      <c r="M15" s="474" t="s">
        <v>65</v>
      </c>
      <c r="N15" s="473"/>
    </row>
    <row r="16" spans="1:14" ht="12.75">
      <c r="A16" s="442"/>
      <c r="B16" s="494" t="s">
        <v>69</v>
      </c>
      <c r="C16" s="495">
        <v>70.282</v>
      </c>
      <c r="D16" s="496"/>
      <c r="E16" s="497">
        <v>4.582769</v>
      </c>
      <c r="F16" s="498"/>
      <c r="G16" s="499">
        <v>158.9927</v>
      </c>
      <c r="H16" s="500"/>
      <c r="I16" s="501">
        <v>127.3469387755102</v>
      </c>
      <c r="J16" s="501"/>
      <c r="K16" s="501">
        <v>128.57142857142858</v>
      </c>
      <c r="L16" s="502"/>
      <c r="M16" s="494" t="s">
        <v>69</v>
      </c>
      <c r="N16" s="503"/>
    </row>
    <row r="17" spans="1:14" ht="12.75">
      <c r="A17" s="442"/>
      <c r="B17" s="474" t="s">
        <v>15</v>
      </c>
      <c r="C17" s="504">
        <v>131.957</v>
      </c>
      <c r="D17" s="505"/>
      <c r="E17" s="506">
        <v>11.290935</v>
      </c>
      <c r="F17" s="507"/>
      <c r="G17" s="508">
        <v>208.5317</v>
      </c>
      <c r="H17" s="509"/>
      <c r="I17" s="510">
        <v>87.34693877551021</v>
      </c>
      <c r="J17" s="510"/>
      <c r="K17" s="510">
        <v>79.76190476190477</v>
      </c>
      <c r="L17" s="512"/>
      <c r="M17" s="474" t="s">
        <v>15</v>
      </c>
      <c r="N17" s="473"/>
    </row>
    <row r="18" spans="1:14" ht="12.75">
      <c r="A18" s="442"/>
      <c r="B18" s="494" t="s">
        <v>67</v>
      </c>
      <c r="C18" s="495">
        <v>505.997</v>
      </c>
      <c r="D18" s="496"/>
      <c r="E18" s="497">
        <v>46.196276</v>
      </c>
      <c r="F18" s="498"/>
      <c r="G18" s="499">
        <v>1063.355</v>
      </c>
      <c r="H18" s="500"/>
      <c r="I18" s="501">
        <v>99.59183673469387</v>
      </c>
      <c r="J18" s="501"/>
      <c r="K18" s="501">
        <v>98.01587301587301</v>
      </c>
      <c r="L18" s="502"/>
      <c r="M18" s="494" t="s">
        <v>67</v>
      </c>
      <c r="N18" s="503"/>
    </row>
    <row r="19" spans="1:14" ht="12.75">
      <c r="A19" s="442"/>
      <c r="B19" s="474" t="s">
        <v>68</v>
      </c>
      <c r="C19" s="504">
        <v>543.965</v>
      </c>
      <c r="D19" s="505"/>
      <c r="E19" s="506">
        <v>63.460768</v>
      </c>
      <c r="F19" s="507"/>
      <c r="G19" s="508">
        <v>1996.5831</v>
      </c>
      <c r="H19" s="509"/>
      <c r="I19" s="510">
        <v>107.34693877551021</v>
      </c>
      <c r="J19" s="510"/>
      <c r="K19" s="510">
        <v>107.14285714285714</v>
      </c>
      <c r="L19" s="512"/>
      <c r="M19" s="474" t="s">
        <v>68</v>
      </c>
      <c r="N19" s="473"/>
    </row>
    <row r="20" spans="1:14" ht="12.75">
      <c r="A20" s="442"/>
      <c r="B20" s="494" t="s">
        <v>70</v>
      </c>
      <c r="C20" s="495">
        <v>301.336</v>
      </c>
      <c r="D20" s="496"/>
      <c r="E20" s="497">
        <v>60.820764</v>
      </c>
      <c r="F20" s="498"/>
      <c r="G20" s="499">
        <v>1579.6592</v>
      </c>
      <c r="H20" s="500"/>
      <c r="I20" s="501">
        <v>100.40816326530613</v>
      </c>
      <c r="J20" s="501"/>
      <c r="K20" s="501">
        <v>100.39682539682539</v>
      </c>
      <c r="L20" s="502"/>
      <c r="M20" s="494" t="s">
        <v>70</v>
      </c>
      <c r="N20" s="503"/>
    </row>
    <row r="21" spans="1:14" ht="12.75">
      <c r="A21" s="442"/>
      <c r="B21" s="474" t="s">
        <v>72</v>
      </c>
      <c r="C21" s="504">
        <v>9.25</v>
      </c>
      <c r="D21" s="505"/>
      <c r="E21" s="506">
        <v>0.862011</v>
      </c>
      <c r="F21" s="507"/>
      <c r="G21" s="508">
        <v>17.9793</v>
      </c>
      <c r="H21" s="509"/>
      <c r="I21" s="510">
        <v>96.3265306122449</v>
      </c>
      <c r="J21" s="510"/>
      <c r="K21" s="510">
        <v>93.65079365079364</v>
      </c>
      <c r="L21" s="512"/>
      <c r="M21" s="474" t="s">
        <v>72</v>
      </c>
      <c r="N21" s="473"/>
    </row>
    <row r="22" spans="1:14" ht="12.75">
      <c r="A22" s="442"/>
      <c r="B22" s="494" t="s">
        <v>73</v>
      </c>
      <c r="C22" s="495">
        <v>64.559</v>
      </c>
      <c r="D22" s="496"/>
      <c r="E22" s="497">
        <v>2.041763</v>
      </c>
      <c r="F22" s="498"/>
      <c r="G22" s="499">
        <v>20.2114</v>
      </c>
      <c r="H22" s="500"/>
      <c r="I22" s="501">
        <v>54.69387755102041</v>
      </c>
      <c r="J22" s="501"/>
      <c r="K22" s="501">
        <v>58.730158730158735</v>
      </c>
      <c r="L22" s="502"/>
      <c r="M22" s="494" t="s">
        <v>73</v>
      </c>
      <c r="N22" s="503"/>
    </row>
    <row r="23" spans="1:14" ht="12.75">
      <c r="A23" s="442"/>
      <c r="B23" s="474" t="s">
        <v>74</v>
      </c>
      <c r="C23" s="504">
        <v>65.3</v>
      </c>
      <c r="D23" s="505"/>
      <c r="E23" s="506">
        <v>3.007758</v>
      </c>
      <c r="F23" s="507"/>
      <c r="G23" s="508">
        <v>30.806900000000002</v>
      </c>
      <c r="H23" s="509"/>
      <c r="I23" s="510">
        <v>57.55102040816327</v>
      </c>
      <c r="J23" s="510"/>
      <c r="K23" s="510">
        <v>65.87301587301587</v>
      </c>
      <c r="L23" s="512"/>
      <c r="M23" s="474" t="s">
        <v>74</v>
      </c>
      <c r="N23" s="473"/>
    </row>
    <row r="24" spans="1:14" ht="12.75">
      <c r="A24" s="442"/>
      <c r="B24" s="494" t="s">
        <v>77</v>
      </c>
      <c r="C24" s="495">
        <v>2.586</v>
      </c>
      <c r="D24" s="496"/>
      <c r="E24" s="497">
        <v>0.524853</v>
      </c>
      <c r="F24" s="498"/>
      <c r="G24" s="499">
        <v>42.6246</v>
      </c>
      <c r="H24" s="500"/>
      <c r="I24" s="501">
        <v>267.34693877551024</v>
      </c>
      <c r="J24" s="501"/>
      <c r="K24" s="501">
        <v>271.42857142857144</v>
      </c>
      <c r="L24" s="502"/>
      <c r="M24" s="494" t="s">
        <v>77</v>
      </c>
      <c r="N24" s="503"/>
    </row>
    <row r="25" spans="1:14" ht="12.75">
      <c r="A25" s="442"/>
      <c r="B25" s="474" t="s">
        <v>78</v>
      </c>
      <c r="C25" s="504">
        <v>93.03</v>
      </c>
      <c r="D25" s="505"/>
      <c r="E25" s="506">
        <v>9.957731</v>
      </c>
      <c r="F25" s="507"/>
      <c r="G25" s="508">
        <v>99.8189</v>
      </c>
      <c r="H25" s="509"/>
      <c r="I25" s="510">
        <v>64.08163265306122</v>
      </c>
      <c r="J25" s="510"/>
      <c r="K25" s="510">
        <v>65.07936507936508</v>
      </c>
      <c r="L25" s="512"/>
      <c r="M25" s="474" t="s">
        <v>78</v>
      </c>
      <c r="N25" s="473"/>
    </row>
    <row r="26" spans="1:14" ht="12.75">
      <c r="A26" s="442"/>
      <c r="B26" s="494" t="s">
        <v>79</v>
      </c>
      <c r="C26" s="495">
        <v>0.316</v>
      </c>
      <c r="D26" s="496"/>
      <c r="E26" s="497">
        <v>0.41611</v>
      </c>
      <c r="F26" s="498"/>
      <c r="G26" s="499">
        <v>6.5443999999999996</v>
      </c>
      <c r="H26" s="500"/>
      <c r="I26" s="501">
        <v>84.48979591836735</v>
      </c>
      <c r="J26" s="501"/>
      <c r="K26" s="501">
        <v>84.92063492063492</v>
      </c>
      <c r="L26" s="502"/>
      <c r="M26" s="494" t="s">
        <v>79</v>
      </c>
      <c r="N26" s="503"/>
    </row>
    <row r="27" spans="1:14" ht="12.75">
      <c r="A27" s="442"/>
      <c r="B27" s="474" t="s">
        <v>16</v>
      </c>
      <c r="C27" s="504">
        <v>41.526</v>
      </c>
      <c r="D27" s="505"/>
      <c r="E27" s="506">
        <v>16.730348</v>
      </c>
      <c r="F27" s="507"/>
      <c r="G27" s="508">
        <v>601.973</v>
      </c>
      <c r="H27" s="509"/>
      <c r="I27" s="510">
        <v>132.6530612244898</v>
      </c>
      <c r="J27" s="510"/>
      <c r="K27" s="510">
        <v>130.55555555555557</v>
      </c>
      <c r="L27" s="512"/>
      <c r="M27" s="474" t="s">
        <v>16</v>
      </c>
      <c r="N27" s="473"/>
    </row>
    <row r="28" spans="1:14" ht="12.75">
      <c r="A28" s="442"/>
      <c r="B28" s="494" t="s">
        <v>82</v>
      </c>
      <c r="C28" s="495">
        <v>83.879</v>
      </c>
      <c r="D28" s="496"/>
      <c r="E28" s="497">
        <v>8.443018</v>
      </c>
      <c r="F28" s="498"/>
      <c r="G28" s="499">
        <v>300.7124</v>
      </c>
      <c r="H28" s="500"/>
      <c r="I28" s="501">
        <v>125.71428571428571</v>
      </c>
      <c r="J28" s="501"/>
      <c r="K28" s="501">
        <v>128.1706349206349</v>
      </c>
      <c r="L28" s="502"/>
      <c r="M28" s="494" t="s">
        <v>82</v>
      </c>
      <c r="N28" s="503"/>
    </row>
    <row r="29" spans="1:14" ht="12.75">
      <c r="A29" s="442"/>
      <c r="B29" s="474" t="s">
        <v>81</v>
      </c>
      <c r="C29" s="504">
        <v>312.685</v>
      </c>
      <c r="D29" s="505"/>
      <c r="E29" s="506">
        <v>38.538447</v>
      </c>
      <c r="F29" s="507"/>
      <c r="G29" s="508">
        <v>369.6658</v>
      </c>
      <c r="H29" s="509"/>
      <c r="I29" s="510">
        <v>62.04081632653061</v>
      </c>
      <c r="J29" s="510"/>
      <c r="K29" s="510">
        <v>64.28571428571429</v>
      </c>
      <c r="L29" s="512"/>
      <c r="M29" s="474" t="s">
        <v>81</v>
      </c>
      <c r="N29" s="473"/>
    </row>
    <row r="30" spans="1:14" ht="12.75">
      <c r="A30" s="442"/>
      <c r="B30" s="494" t="s">
        <v>93</v>
      </c>
      <c r="C30" s="495">
        <v>92.09</v>
      </c>
      <c r="D30" s="496"/>
      <c r="E30" s="497">
        <v>10.54184</v>
      </c>
      <c r="F30" s="498"/>
      <c r="G30" s="499">
        <v>170.909</v>
      </c>
      <c r="H30" s="500"/>
      <c r="I30" s="501">
        <v>79.59183673469387</v>
      </c>
      <c r="J30" s="501"/>
      <c r="K30" s="501">
        <v>76.98412698412699</v>
      </c>
      <c r="L30" s="502"/>
      <c r="M30" s="494" t="s">
        <v>93</v>
      </c>
      <c r="N30" s="503"/>
    </row>
    <row r="31" spans="1:14" ht="12.75">
      <c r="A31" s="442"/>
      <c r="B31" s="474" t="s">
        <v>103</v>
      </c>
      <c r="C31" s="504">
        <v>238.391</v>
      </c>
      <c r="D31" s="505"/>
      <c r="E31" s="506">
        <v>21.355849</v>
      </c>
      <c r="F31" s="507"/>
      <c r="G31" s="508">
        <v>136.4799</v>
      </c>
      <c r="H31" s="509"/>
      <c r="I31" s="510">
        <v>46.53061224489796</v>
      </c>
      <c r="J31" s="510"/>
      <c r="K31" s="511">
        <v>47.33571274653218</v>
      </c>
      <c r="L31" s="512"/>
      <c r="M31" s="474" t="s">
        <v>103</v>
      </c>
      <c r="N31" s="473"/>
    </row>
    <row r="32" spans="1:14" ht="12.75">
      <c r="A32" s="442"/>
      <c r="B32" s="494" t="s">
        <v>84</v>
      </c>
      <c r="C32" s="495">
        <v>20.273</v>
      </c>
      <c r="D32" s="496"/>
      <c r="E32" s="497">
        <v>2.055496</v>
      </c>
      <c r="F32" s="498"/>
      <c r="G32" s="499">
        <v>36.171800000000005</v>
      </c>
      <c r="H32" s="500"/>
      <c r="I32" s="501">
        <v>84.89795918367346</v>
      </c>
      <c r="J32" s="501"/>
      <c r="K32" s="501">
        <v>84.52380952380952</v>
      </c>
      <c r="L32" s="502"/>
      <c r="M32" s="494" t="s">
        <v>84</v>
      </c>
      <c r="N32" s="503"/>
    </row>
    <row r="33" spans="1:14" ht="12.75">
      <c r="A33" s="442"/>
      <c r="B33" s="474" t="s">
        <v>86</v>
      </c>
      <c r="C33" s="504">
        <v>49.035</v>
      </c>
      <c r="D33" s="505"/>
      <c r="E33" s="506">
        <v>5.404322</v>
      </c>
      <c r="F33" s="507"/>
      <c r="G33" s="508">
        <v>69.1083</v>
      </c>
      <c r="H33" s="509"/>
      <c r="I33" s="510">
        <v>73.06122448979592</v>
      </c>
      <c r="J33" s="510"/>
      <c r="K33" s="510">
        <v>73.01587301587301</v>
      </c>
      <c r="L33" s="512"/>
      <c r="M33" s="474" t="s">
        <v>86</v>
      </c>
      <c r="N33" s="473"/>
    </row>
    <row r="34" spans="1:14" ht="12.75">
      <c r="A34" s="442"/>
      <c r="B34" s="494" t="s">
        <v>88</v>
      </c>
      <c r="C34" s="495">
        <v>338.419</v>
      </c>
      <c r="D34" s="496"/>
      <c r="E34" s="497">
        <v>5.401267</v>
      </c>
      <c r="F34" s="498"/>
      <c r="G34" s="499">
        <v>189.368</v>
      </c>
      <c r="H34" s="500"/>
      <c r="I34" s="501">
        <v>114.28571428571428</v>
      </c>
      <c r="J34" s="501"/>
      <c r="K34" s="501">
        <v>114.68253968253967</v>
      </c>
      <c r="L34" s="502"/>
      <c r="M34" s="494" t="s">
        <v>88</v>
      </c>
      <c r="N34" s="503"/>
    </row>
    <row r="35" spans="1:14" ht="12.75">
      <c r="A35" s="442"/>
      <c r="B35" s="474" t="s">
        <v>89</v>
      </c>
      <c r="C35" s="504">
        <v>450.295</v>
      </c>
      <c r="D35" s="505"/>
      <c r="E35" s="506">
        <v>9.482855</v>
      </c>
      <c r="F35" s="507"/>
      <c r="G35" s="508">
        <v>387.596</v>
      </c>
      <c r="H35" s="509"/>
      <c r="I35" s="510">
        <v>124.08163265306122</v>
      </c>
      <c r="J35" s="510"/>
      <c r="K35" s="510">
        <v>126.19047619047619</v>
      </c>
      <c r="L35" s="512"/>
      <c r="M35" s="474" t="s">
        <v>89</v>
      </c>
      <c r="N35" s="473"/>
    </row>
    <row r="36" spans="1:14" ht="12.75">
      <c r="A36" s="442"/>
      <c r="B36" s="513" t="s">
        <v>13</v>
      </c>
      <c r="C36" s="514">
        <v>243.82</v>
      </c>
      <c r="D36" s="515"/>
      <c r="E36" s="516">
        <v>62.98955</v>
      </c>
      <c r="F36" s="517"/>
      <c r="G36" s="518">
        <v>1750.3963999999999</v>
      </c>
      <c r="H36" s="517"/>
      <c r="I36" s="519">
        <v>111.83673469387756</v>
      </c>
      <c r="J36" s="519"/>
      <c r="K36" s="519">
        <v>108.73015873015872</v>
      </c>
      <c r="L36" s="520"/>
      <c r="M36" s="513" t="s">
        <v>13</v>
      </c>
      <c r="N36" s="503"/>
    </row>
    <row r="37" spans="1:14" ht="12.75">
      <c r="A37" s="442"/>
      <c r="B37" s="474" t="s">
        <v>164</v>
      </c>
      <c r="C37" s="504">
        <v>56.594</v>
      </c>
      <c r="D37" s="505"/>
      <c r="E37" s="521">
        <v>4.39815</v>
      </c>
      <c r="F37" s="522"/>
      <c r="G37" s="508">
        <v>44.8925</v>
      </c>
      <c r="H37" s="509"/>
      <c r="I37" s="523">
        <v>59.183673469387756</v>
      </c>
      <c r="J37" s="510"/>
      <c r="K37" s="523">
        <v>61.50793650793651</v>
      </c>
      <c r="L37" s="512"/>
      <c r="M37" s="474" t="s">
        <v>164</v>
      </c>
      <c r="N37" s="473"/>
    </row>
    <row r="38" spans="1:14" ht="12.75">
      <c r="A38" s="442"/>
      <c r="B38" s="524" t="s">
        <v>165</v>
      </c>
      <c r="C38" s="525">
        <v>25.713</v>
      </c>
      <c r="D38" s="526"/>
      <c r="E38" s="527">
        <v>2.059794</v>
      </c>
      <c r="F38" s="528"/>
      <c r="G38" s="529">
        <v>7.5091</v>
      </c>
      <c r="H38" s="530"/>
      <c r="I38" s="531">
        <v>36.3265306122449</v>
      </c>
      <c r="J38" s="532"/>
      <c r="K38" s="533">
        <v>36.848652654622065</v>
      </c>
      <c r="L38" s="534"/>
      <c r="M38" s="524" t="s">
        <v>165</v>
      </c>
      <c r="N38" s="535"/>
    </row>
    <row r="39" spans="1:14" ht="12.75">
      <c r="A39" s="442"/>
      <c r="B39" s="474" t="s">
        <v>166</v>
      </c>
      <c r="C39" s="504">
        <v>785.347</v>
      </c>
      <c r="D39" s="505"/>
      <c r="E39" s="521">
        <v>74.724269</v>
      </c>
      <c r="F39" s="507"/>
      <c r="G39" s="508">
        <v>555.2494</v>
      </c>
      <c r="H39" s="509"/>
      <c r="I39" s="523">
        <v>48.57142857142857</v>
      </c>
      <c r="J39" s="510"/>
      <c r="K39" s="523">
        <v>53.17460317460318</v>
      </c>
      <c r="L39" s="512"/>
      <c r="M39" s="474" t="s">
        <v>166</v>
      </c>
      <c r="N39" s="473"/>
    </row>
    <row r="40" spans="1:14" ht="12.75">
      <c r="A40" s="442"/>
      <c r="B40" s="536" t="s">
        <v>167</v>
      </c>
      <c r="C40" s="537">
        <v>103</v>
      </c>
      <c r="D40" s="538"/>
      <c r="E40" s="539">
        <v>0.319575</v>
      </c>
      <c r="F40" s="540"/>
      <c r="G40" s="541">
        <v>10.0749</v>
      </c>
      <c r="H40" s="542"/>
      <c r="I40" s="543">
        <v>111.0204081632653</v>
      </c>
      <c r="J40" s="543"/>
      <c r="K40" s="543">
        <v>109.52380952380953</v>
      </c>
      <c r="L40" s="544"/>
      <c r="M40" s="536" t="s">
        <v>167</v>
      </c>
      <c r="N40" s="503"/>
    </row>
    <row r="41" spans="1:14" ht="12.75">
      <c r="A41" s="442"/>
      <c r="B41" s="474" t="s">
        <v>168</v>
      </c>
      <c r="C41" s="504">
        <v>323.782</v>
      </c>
      <c r="D41" s="505"/>
      <c r="E41" s="521">
        <v>4.98587</v>
      </c>
      <c r="F41" s="507"/>
      <c r="G41" s="508">
        <v>352.85790000000003</v>
      </c>
      <c r="H41" s="509"/>
      <c r="I41" s="510">
        <v>181.6326530612245</v>
      </c>
      <c r="J41" s="510"/>
      <c r="K41" s="510">
        <v>190.47619047619045</v>
      </c>
      <c r="L41" s="512"/>
      <c r="M41" s="474" t="s">
        <v>168</v>
      </c>
      <c r="N41" s="473"/>
    </row>
    <row r="42" spans="1:14" ht="12.75">
      <c r="A42" s="442"/>
      <c r="B42" s="513" t="s">
        <v>169</v>
      </c>
      <c r="C42" s="514">
        <v>41.285</v>
      </c>
      <c r="D42" s="515"/>
      <c r="E42" s="545">
        <v>7.954662</v>
      </c>
      <c r="F42" s="546"/>
      <c r="G42" s="518">
        <v>476.0539</v>
      </c>
      <c r="H42" s="517"/>
      <c r="I42" s="519">
        <v>152.65306122448982</v>
      </c>
      <c r="J42" s="519"/>
      <c r="K42" s="519">
        <v>155.95238095238096</v>
      </c>
      <c r="L42" s="520"/>
      <c r="M42" s="513" t="s">
        <v>169</v>
      </c>
      <c r="N42" s="503"/>
    </row>
    <row r="43" spans="1:2" ht="12.75">
      <c r="A43" s="442"/>
      <c r="B43" s="547" t="s">
        <v>244</v>
      </c>
    </row>
    <row r="44" spans="1:14" ht="12.75">
      <c r="A44" s="442"/>
      <c r="B44" s="1061" t="s">
        <v>245</v>
      </c>
      <c r="C44" s="1062"/>
      <c r="D44" s="1062"/>
      <c r="E44" s="1062"/>
      <c r="F44" s="1062"/>
      <c r="G44" s="1062"/>
      <c r="H44" s="1062"/>
      <c r="I44" s="1062"/>
      <c r="J44" s="1062"/>
      <c r="K44" s="1062"/>
      <c r="L44" s="1062"/>
      <c r="M44" s="1062"/>
      <c r="N44" s="548"/>
    </row>
    <row r="45" spans="1:14" ht="12.75" customHeight="1">
      <c r="A45" s="442"/>
      <c r="B45" s="1063" t="s">
        <v>246</v>
      </c>
      <c r="C45" s="1064"/>
      <c r="D45" s="1064"/>
      <c r="E45" s="1064"/>
      <c r="F45" s="1064"/>
      <c r="G45" s="1064"/>
      <c r="H45" s="1064"/>
      <c r="I45" s="1064"/>
      <c r="J45" s="1064"/>
      <c r="K45" s="1064"/>
      <c r="L45" s="1064"/>
      <c r="M45" s="1064"/>
      <c r="N45" s="549"/>
    </row>
    <row r="46" spans="1:14" ht="51.75" customHeight="1">
      <c r="A46" s="442"/>
      <c r="B46" s="1063" t="s">
        <v>247</v>
      </c>
      <c r="C46" s="1064"/>
      <c r="D46" s="1064"/>
      <c r="E46" s="1064"/>
      <c r="F46" s="1064"/>
      <c r="G46" s="1064"/>
      <c r="H46" s="1064"/>
      <c r="I46" s="1064"/>
      <c r="J46" s="1064"/>
      <c r="K46" s="1064"/>
      <c r="L46" s="1064"/>
      <c r="M46" s="1064"/>
      <c r="N46" s="549"/>
    </row>
    <row r="47" spans="1:13" ht="12.75" customHeight="1">
      <c r="A47" s="442"/>
      <c r="B47" s="1063" t="s">
        <v>248</v>
      </c>
      <c r="C47" s="1064"/>
      <c r="D47" s="1064"/>
      <c r="E47" s="1064"/>
      <c r="F47" s="1064"/>
      <c r="G47" s="1064"/>
      <c r="H47" s="1064"/>
      <c r="I47" s="1064"/>
      <c r="J47" s="1064"/>
      <c r="K47" s="1064"/>
      <c r="L47" s="1064"/>
      <c r="M47" s="1064"/>
    </row>
    <row r="48" spans="1:13" ht="12.75" customHeight="1">
      <c r="A48" s="442"/>
      <c r="B48" s="1065" t="s">
        <v>249</v>
      </c>
      <c r="C48" s="1066"/>
      <c r="D48" s="1066"/>
      <c r="E48" s="1066"/>
      <c r="F48" s="1066"/>
      <c r="G48" s="1066"/>
      <c r="H48" s="1066"/>
      <c r="I48" s="1066"/>
      <c r="J48" s="1066"/>
      <c r="K48" s="1066"/>
      <c r="L48" s="1066"/>
      <c r="M48" s="1066"/>
    </row>
  </sheetData>
  <sheetProtection/>
  <mergeCells count="12">
    <mergeCell ref="B2:M2"/>
    <mergeCell ref="C3:D4"/>
    <mergeCell ref="E3:F4"/>
    <mergeCell ref="G3:H4"/>
    <mergeCell ref="I3:L3"/>
    <mergeCell ref="I4:L4"/>
    <mergeCell ref="I5:L5"/>
    <mergeCell ref="B44:M44"/>
    <mergeCell ref="B45:M45"/>
    <mergeCell ref="B46:M46"/>
    <mergeCell ref="B47:M47"/>
    <mergeCell ref="B48:M4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B1:V48"/>
  <sheetViews>
    <sheetView zoomScalePageLayoutView="0" workbookViewId="0" topLeftCell="A4">
      <selection activeCell="G33" sqref="G33"/>
    </sheetView>
  </sheetViews>
  <sheetFormatPr defaultColWidth="9.140625" defaultRowHeight="12.75"/>
  <sheetData>
    <row r="1" spans="2:22" ht="15.75">
      <c r="B1" s="933"/>
      <c r="C1" s="100"/>
      <c r="D1" s="100"/>
      <c r="E1" s="100"/>
      <c r="F1" s="100"/>
      <c r="G1" s="100"/>
      <c r="H1" s="100"/>
      <c r="I1" s="100"/>
      <c r="J1" s="934"/>
      <c r="V1" s="102" t="s">
        <v>305</v>
      </c>
    </row>
    <row r="2" spans="2:22" ht="15.75">
      <c r="B2" s="1079" t="s">
        <v>306</v>
      </c>
      <c r="C2" s="1079"/>
      <c r="D2" s="1079"/>
      <c r="E2" s="1079"/>
      <c r="F2" s="1079"/>
      <c r="G2" s="1079"/>
      <c r="H2" s="1079"/>
      <c r="I2" s="1079"/>
      <c r="J2" s="1079"/>
      <c r="K2" s="1079"/>
      <c r="L2" s="1079"/>
      <c r="M2" s="1079"/>
      <c r="N2" s="1079"/>
      <c r="O2" s="1079"/>
      <c r="P2" s="1079"/>
      <c r="Q2" s="1079"/>
      <c r="R2" s="1079"/>
      <c r="S2" s="1079"/>
      <c r="T2" s="1079"/>
      <c r="U2" s="1079"/>
      <c r="V2" s="1079"/>
    </row>
    <row r="3" spans="2:22" ht="12.75">
      <c r="B3" s="1080" t="s">
        <v>307</v>
      </c>
      <c r="C3" s="1080"/>
      <c r="D3" s="1080"/>
      <c r="E3" s="1080"/>
      <c r="F3" s="1080"/>
      <c r="G3" s="1080"/>
      <c r="H3" s="1080"/>
      <c r="I3" s="1080"/>
      <c r="J3" s="1080"/>
      <c r="K3" s="1080"/>
      <c r="L3" s="1080"/>
      <c r="M3" s="1080"/>
      <c r="N3" s="1080"/>
      <c r="O3" s="1080"/>
      <c r="P3" s="1080"/>
      <c r="Q3" s="1080"/>
      <c r="R3" s="1080"/>
      <c r="S3" s="1080"/>
      <c r="T3" s="1080"/>
      <c r="U3" s="1080"/>
      <c r="V3" s="1080"/>
    </row>
    <row r="4" spans="2:21" ht="12.75">
      <c r="B4" s="142"/>
      <c r="C4" s="623"/>
      <c r="D4" s="623"/>
      <c r="E4" s="623"/>
      <c r="F4" s="623"/>
      <c r="G4" s="623"/>
      <c r="H4" s="623"/>
      <c r="J4" s="935"/>
      <c r="K4" s="935"/>
      <c r="L4" s="935"/>
      <c r="Q4" s="269" t="s">
        <v>308</v>
      </c>
      <c r="R4" s="269"/>
      <c r="S4" s="269"/>
      <c r="T4" s="269"/>
      <c r="U4" s="270"/>
    </row>
    <row r="5" spans="2:22" ht="18.75">
      <c r="B5" s="142"/>
      <c r="C5" s="105">
        <v>1995</v>
      </c>
      <c r="D5" s="106">
        <v>1996</v>
      </c>
      <c r="E5" s="106">
        <v>1997</v>
      </c>
      <c r="F5" s="106">
        <v>1998</v>
      </c>
      <c r="G5" s="106">
        <v>1999</v>
      </c>
      <c r="H5" s="106">
        <v>2000</v>
      </c>
      <c r="I5" s="106">
        <v>2001</v>
      </c>
      <c r="J5" s="106">
        <v>2002</v>
      </c>
      <c r="K5" s="106">
        <v>2003</v>
      </c>
      <c r="L5" s="106">
        <v>2004</v>
      </c>
      <c r="M5" s="106">
        <v>2005</v>
      </c>
      <c r="N5" s="106">
        <v>2006</v>
      </c>
      <c r="O5" s="106">
        <v>2007</v>
      </c>
      <c r="P5" s="106">
        <v>2008</v>
      </c>
      <c r="Q5" s="106">
        <v>2009</v>
      </c>
      <c r="R5" s="106">
        <v>2010</v>
      </c>
      <c r="S5" s="106">
        <v>2011</v>
      </c>
      <c r="T5" s="141" t="s">
        <v>159</v>
      </c>
      <c r="U5" s="346"/>
      <c r="V5" s="346"/>
    </row>
    <row r="6" spans="2:22" ht="12.75">
      <c r="B6" s="142"/>
      <c r="C6" s="144"/>
      <c r="D6" s="146"/>
      <c r="E6" s="146"/>
      <c r="F6" s="146"/>
      <c r="G6" s="146"/>
      <c r="H6" s="146"/>
      <c r="I6" s="146"/>
      <c r="J6" s="146"/>
      <c r="K6" s="146"/>
      <c r="L6" s="146"/>
      <c r="M6" s="146"/>
      <c r="N6" s="146"/>
      <c r="O6" s="146"/>
      <c r="P6" s="146"/>
      <c r="Q6" s="146"/>
      <c r="R6" s="146"/>
      <c r="S6" s="146"/>
      <c r="T6" s="272" t="s">
        <v>160</v>
      </c>
      <c r="U6" s="936"/>
      <c r="V6" s="346"/>
    </row>
    <row r="7" spans="2:22" ht="12.75">
      <c r="B7" s="937" t="s">
        <v>161</v>
      </c>
      <c r="C7" s="938">
        <v>1288.66</v>
      </c>
      <c r="D7" s="225">
        <v>1302.5789999999997</v>
      </c>
      <c r="E7" s="225">
        <v>1351.678</v>
      </c>
      <c r="F7" s="225">
        <v>1414.2039999999997</v>
      </c>
      <c r="G7" s="225">
        <v>1469.9409999999998</v>
      </c>
      <c r="H7" s="225">
        <v>1518.7060000000001</v>
      </c>
      <c r="I7" s="225">
        <v>1556.2670000000003</v>
      </c>
      <c r="J7" s="225">
        <v>1605.8980000000001</v>
      </c>
      <c r="K7" s="225">
        <v>1625.4370000000001</v>
      </c>
      <c r="L7" s="225">
        <v>1742.101</v>
      </c>
      <c r="M7" s="225">
        <v>1794.0060000000003</v>
      </c>
      <c r="N7" s="225">
        <v>1847.572</v>
      </c>
      <c r="O7" s="225">
        <v>1914.4559999999997</v>
      </c>
      <c r="P7" s="225">
        <v>1880.5010000000002</v>
      </c>
      <c r="Q7" s="225">
        <v>1690.3310000000001</v>
      </c>
      <c r="R7" s="225">
        <v>1755.6249999999998</v>
      </c>
      <c r="S7" s="225">
        <v>1734.103</v>
      </c>
      <c r="T7" s="388">
        <v>-1.2258882164471177</v>
      </c>
      <c r="U7" s="148" t="s">
        <v>161</v>
      </c>
      <c r="V7" s="346"/>
    </row>
    <row r="8" spans="2:22" ht="12.75">
      <c r="B8" s="939" t="s">
        <v>162</v>
      </c>
      <c r="C8" s="940">
        <v>1138.231</v>
      </c>
      <c r="D8" s="228">
        <v>1147.34</v>
      </c>
      <c r="E8" s="228">
        <v>1183.033</v>
      </c>
      <c r="F8" s="228">
        <v>1233.762</v>
      </c>
      <c r="G8" s="228">
        <v>1284.3239999999998</v>
      </c>
      <c r="H8" s="228">
        <v>1328.8670000000002</v>
      </c>
      <c r="I8" s="228">
        <v>1354.179</v>
      </c>
      <c r="J8" s="228">
        <v>1385.432</v>
      </c>
      <c r="K8" s="228">
        <v>1386.672</v>
      </c>
      <c r="L8" s="229">
        <v>1469.832</v>
      </c>
      <c r="M8" s="228">
        <v>1482.3110000000001</v>
      </c>
      <c r="N8" s="229">
        <v>1497.1750000000002</v>
      </c>
      <c r="O8" s="229">
        <v>1523.239</v>
      </c>
      <c r="P8" s="229">
        <v>1470.015</v>
      </c>
      <c r="Q8" s="229">
        <v>1302.358</v>
      </c>
      <c r="R8" s="229">
        <v>1333.4589999999998</v>
      </c>
      <c r="S8" s="228">
        <v>1303.166</v>
      </c>
      <c r="T8" s="390">
        <v>-2.271760886536436</v>
      </c>
      <c r="U8" s="154" t="s">
        <v>162</v>
      </c>
      <c r="V8" s="941"/>
    </row>
    <row r="9" spans="2:22" ht="12.75">
      <c r="B9" s="942" t="s">
        <v>163</v>
      </c>
      <c r="C9" s="943">
        <v>150.4290000000001</v>
      </c>
      <c r="D9" s="231">
        <v>155.2389999999998</v>
      </c>
      <c r="E9" s="231">
        <v>168.6450000000002</v>
      </c>
      <c r="F9" s="231">
        <v>180.44199999999978</v>
      </c>
      <c r="G9" s="231">
        <v>185.61699999999996</v>
      </c>
      <c r="H9" s="231">
        <v>189.83899999999994</v>
      </c>
      <c r="I9" s="231">
        <v>202.0880000000002</v>
      </c>
      <c r="J9" s="231">
        <v>220.46600000000012</v>
      </c>
      <c r="K9" s="231">
        <v>238.7650000000001</v>
      </c>
      <c r="L9" s="231">
        <v>272.269</v>
      </c>
      <c r="M9" s="231">
        <v>311.69500000000016</v>
      </c>
      <c r="N9" s="231">
        <v>350.3969999999997</v>
      </c>
      <c r="O9" s="231">
        <v>391.21699999999964</v>
      </c>
      <c r="P9" s="231">
        <v>410.4860000000001</v>
      </c>
      <c r="Q9" s="231">
        <v>387.9730000000002</v>
      </c>
      <c r="R9" s="231">
        <v>422.16599999999994</v>
      </c>
      <c r="S9" s="231">
        <v>430.9370000000001</v>
      </c>
      <c r="T9" s="944">
        <v>2.077618756602897</v>
      </c>
      <c r="U9" s="156" t="s">
        <v>163</v>
      </c>
      <c r="V9" s="941"/>
    </row>
    <row r="10" spans="2:22" ht="12.75">
      <c r="B10" s="107" t="s">
        <v>61</v>
      </c>
      <c r="C10" s="945">
        <v>45.6</v>
      </c>
      <c r="D10" s="945">
        <v>41.8</v>
      </c>
      <c r="E10" s="945">
        <v>43.7</v>
      </c>
      <c r="F10" s="946">
        <v>41.1</v>
      </c>
      <c r="G10" s="947">
        <v>37.284</v>
      </c>
      <c r="H10" s="945">
        <v>51.047</v>
      </c>
      <c r="I10" s="945">
        <v>53.182</v>
      </c>
      <c r="J10" s="945">
        <v>52.889</v>
      </c>
      <c r="K10" s="945">
        <v>50.542</v>
      </c>
      <c r="L10" s="945">
        <v>47.878</v>
      </c>
      <c r="M10" s="945">
        <v>43.847</v>
      </c>
      <c r="N10" s="945">
        <v>43.017</v>
      </c>
      <c r="O10" s="945">
        <v>42.085</v>
      </c>
      <c r="P10" s="945">
        <v>38.356</v>
      </c>
      <c r="Q10" s="945">
        <v>36.174</v>
      </c>
      <c r="R10" s="945">
        <v>35.002</v>
      </c>
      <c r="S10" s="945">
        <v>33.107</v>
      </c>
      <c r="T10" s="302">
        <v>-5.413976344208911</v>
      </c>
      <c r="U10" s="110" t="s">
        <v>61</v>
      </c>
      <c r="V10" s="948"/>
    </row>
    <row r="11" spans="2:22" ht="12.75">
      <c r="B11" s="154" t="s">
        <v>102</v>
      </c>
      <c r="C11" s="949">
        <v>5.2</v>
      </c>
      <c r="D11" s="949">
        <v>5.4</v>
      </c>
      <c r="E11" s="949">
        <v>5.6</v>
      </c>
      <c r="F11" s="949">
        <v>5.8</v>
      </c>
      <c r="G11" s="949">
        <v>6</v>
      </c>
      <c r="H11" s="950">
        <v>6.404</v>
      </c>
      <c r="I11" s="950">
        <v>8.047</v>
      </c>
      <c r="J11" s="950">
        <v>8.804</v>
      </c>
      <c r="K11" s="950">
        <v>9.497</v>
      </c>
      <c r="L11" s="950">
        <v>11.961</v>
      </c>
      <c r="M11" s="950">
        <v>14.371</v>
      </c>
      <c r="N11" s="950">
        <v>13.765</v>
      </c>
      <c r="O11" s="950">
        <v>14.624</v>
      </c>
      <c r="P11" s="950">
        <v>15.322</v>
      </c>
      <c r="Q11" s="950">
        <v>17.742</v>
      </c>
      <c r="R11" s="950">
        <v>19.433</v>
      </c>
      <c r="S11" s="950">
        <v>21.214</v>
      </c>
      <c r="T11" s="303">
        <v>9.164822724231971</v>
      </c>
      <c r="U11" s="154" t="s">
        <v>102</v>
      </c>
      <c r="V11" s="948"/>
    </row>
    <row r="12" spans="2:22" ht="12.75">
      <c r="B12" s="107" t="s">
        <v>62</v>
      </c>
      <c r="C12" s="951">
        <v>31.3</v>
      </c>
      <c r="D12" s="951">
        <v>30.1</v>
      </c>
      <c r="E12" s="951">
        <v>30.64</v>
      </c>
      <c r="F12" s="951">
        <v>33.911</v>
      </c>
      <c r="G12" s="951">
        <v>36.964</v>
      </c>
      <c r="H12" s="951">
        <v>37.31</v>
      </c>
      <c r="I12" s="951">
        <v>39.067</v>
      </c>
      <c r="J12" s="951">
        <v>43.674</v>
      </c>
      <c r="K12" s="951">
        <v>46.535</v>
      </c>
      <c r="L12" s="951">
        <v>46.011</v>
      </c>
      <c r="M12" s="951">
        <v>43.447</v>
      </c>
      <c r="N12" s="951">
        <v>50.376</v>
      </c>
      <c r="O12" s="951">
        <v>48.141</v>
      </c>
      <c r="P12" s="951">
        <v>50.877</v>
      </c>
      <c r="Q12" s="951">
        <v>44.955</v>
      </c>
      <c r="R12" s="951">
        <v>51.832</v>
      </c>
      <c r="S12" s="951">
        <v>54.83</v>
      </c>
      <c r="T12" s="316">
        <v>5.784071615990117</v>
      </c>
      <c r="U12" s="107" t="s">
        <v>62</v>
      </c>
      <c r="V12" s="948"/>
    </row>
    <row r="13" spans="2:22" ht="12.75">
      <c r="B13" s="154" t="s">
        <v>14</v>
      </c>
      <c r="C13" s="950">
        <v>22.4</v>
      </c>
      <c r="D13" s="950">
        <v>21.3</v>
      </c>
      <c r="E13" s="950">
        <v>21.5</v>
      </c>
      <c r="F13" s="949">
        <v>21.4</v>
      </c>
      <c r="G13" s="950">
        <v>23.236</v>
      </c>
      <c r="H13" s="950">
        <v>24.021</v>
      </c>
      <c r="I13" s="950">
        <v>22.156</v>
      </c>
      <c r="J13" s="950">
        <v>22.516</v>
      </c>
      <c r="K13" s="950">
        <v>23.009</v>
      </c>
      <c r="L13" s="950">
        <v>23.114</v>
      </c>
      <c r="M13" s="950">
        <v>23.299</v>
      </c>
      <c r="N13" s="950">
        <v>21.254</v>
      </c>
      <c r="O13" s="950">
        <v>20.96</v>
      </c>
      <c r="P13" s="950">
        <v>19.48</v>
      </c>
      <c r="Q13" s="950">
        <v>16.876</v>
      </c>
      <c r="R13" s="950">
        <v>15.018</v>
      </c>
      <c r="S13" s="950">
        <v>16.12</v>
      </c>
      <c r="T13" s="303">
        <v>7.337861233186844</v>
      </c>
      <c r="U13" s="154" t="s">
        <v>14</v>
      </c>
      <c r="V13" s="948"/>
    </row>
    <row r="14" spans="2:22" ht="12.75">
      <c r="B14" s="107" t="s">
        <v>64</v>
      </c>
      <c r="C14" s="951">
        <v>237.8</v>
      </c>
      <c r="D14" s="951">
        <v>236.6</v>
      </c>
      <c r="E14" s="951">
        <v>245.9</v>
      </c>
      <c r="F14" s="951">
        <v>257.4</v>
      </c>
      <c r="G14" s="951">
        <v>278.427</v>
      </c>
      <c r="H14" s="951">
        <v>280.708</v>
      </c>
      <c r="I14" s="951">
        <v>288.964</v>
      </c>
      <c r="J14" s="951">
        <v>285.214</v>
      </c>
      <c r="K14" s="951">
        <v>290.745</v>
      </c>
      <c r="L14" s="951">
        <v>303.752</v>
      </c>
      <c r="M14" s="951">
        <v>310.103</v>
      </c>
      <c r="N14" s="951">
        <v>330.016</v>
      </c>
      <c r="O14" s="951">
        <v>343.447</v>
      </c>
      <c r="P14" s="951">
        <v>341.532</v>
      </c>
      <c r="Q14" s="951">
        <v>307.547</v>
      </c>
      <c r="R14" s="951">
        <v>313.104</v>
      </c>
      <c r="S14" s="951">
        <v>323.833</v>
      </c>
      <c r="T14" s="316">
        <v>3.4266569574326873</v>
      </c>
      <c r="U14" s="107" t="s">
        <v>64</v>
      </c>
      <c r="V14" s="948"/>
    </row>
    <row r="15" spans="2:22" ht="12.75">
      <c r="B15" s="154" t="s">
        <v>65</v>
      </c>
      <c r="C15" s="950">
        <v>1.549</v>
      </c>
      <c r="D15" s="950">
        <v>1.897</v>
      </c>
      <c r="E15" s="950">
        <v>2.773</v>
      </c>
      <c r="F15" s="950">
        <v>3.791</v>
      </c>
      <c r="G15" s="950">
        <v>3.975</v>
      </c>
      <c r="H15" s="950">
        <v>3.932</v>
      </c>
      <c r="I15" s="950">
        <v>4.677</v>
      </c>
      <c r="J15" s="313">
        <v>4.387</v>
      </c>
      <c r="K15" s="950">
        <v>3.974</v>
      </c>
      <c r="L15" s="950">
        <v>5.099</v>
      </c>
      <c r="M15" s="950">
        <v>5.824</v>
      </c>
      <c r="N15" s="950">
        <v>5.548</v>
      </c>
      <c r="O15" s="950">
        <v>6.417</v>
      </c>
      <c r="P15" s="950">
        <v>7.354</v>
      </c>
      <c r="Q15" s="950">
        <v>5.34</v>
      </c>
      <c r="R15" s="950">
        <v>5.614</v>
      </c>
      <c r="S15" s="950">
        <v>5.912</v>
      </c>
      <c r="T15" s="303">
        <v>5.308158175988601</v>
      </c>
      <c r="U15" s="154" t="s">
        <v>65</v>
      </c>
      <c r="V15" s="948"/>
    </row>
    <row r="16" spans="2:22" ht="12.75">
      <c r="B16" s="107" t="s">
        <v>69</v>
      </c>
      <c r="C16" s="945">
        <v>5.5</v>
      </c>
      <c r="D16" s="945">
        <v>6.3</v>
      </c>
      <c r="E16" s="945">
        <v>7</v>
      </c>
      <c r="F16" s="945">
        <v>8.2</v>
      </c>
      <c r="G16" s="945">
        <v>10.206</v>
      </c>
      <c r="H16" s="945">
        <v>12.275</v>
      </c>
      <c r="I16" s="945">
        <v>12.325</v>
      </c>
      <c r="J16" s="945">
        <v>14.275</v>
      </c>
      <c r="K16" s="945">
        <v>15.65</v>
      </c>
      <c r="L16" s="945">
        <v>17.144</v>
      </c>
      <c r="M16" s="945">
        <v>17.91</v>
      </c>
      <c r="N16" s="945">
        <v>17.454</v>
      </c>
      <c r="O16" s="945">
        <v>19.02</v>
      </c>
      <c r="P16" s="945">
        <v>17.402</v>
      </c>
      <c r="Q16" s="945">
        <v>11.687</v>
      </c>
      <c r="R16" s="945">
        <v>10.939</v>
      </c>
      <c r="S16" s="945">
        <v>10.108</v>
      </c>
      <c r="T16" s="302">
        <v>-7.5966724563488395</v>
      </c>
      <c r="U16" s="107" t="s">
        <v>69</v>
      </c>
      <c r="V16" s="948"/>
    </row>
    <row r="17" spans="2:22" ht="12.75">
      <c r="B17" s="154" t="s">
        <v>15</v>
      </c>
      <c r="C17" s="949">
        <v>24</v>
      </c>
      <c r="D17" s="949">
        <v>25.05</v>
      </c>
      <c r="E17" s="949">
        <v>26.12</v>
      </c>
      <c r="F17" s="949">
        <v>27.2</v>
      </c>
      <c r="G17" s="949">
        <v>28.1</v>
      </c>
      <c r="H17" s="949">
        <v>29</v>
      </c>
      <c r="I17" s="949">
        <v>30</v>
      </c>
      <c r="J17" s="949">
        <v>31</v>
      </c>
      <c r="K17" s="949">
        <v>33</v>
      </c>
      <c r="L17" s="950">
        <v>36.773</v>
      </c>
      <c r="M17" s="949">
        <v>32.5</v>
      </c>
      <c r="N17" s="950">
        <v>34.002</v>
      </c>
      <c r="O17" s="950">
        <v>27.791</v>
      </c>
      <c r="P17" s="950">
        <v>28.85</v>
      </c>
      <c r="Q17" s="950">
        <v>28.585</v>
      </c>
      <c r="R17" s="950">
        <v>29.815</v>
      </c>
      <c r="S17" s="950">
        <v>20.597</v>
      </c>
      <c r="T17" s="303">
        <v>-30.917323494885125</v>
      </c>
      <c r="U17" s="154" t="s">
        <v>15</v>
      </c>
      <c r="V17" s="952"/>
    </row>
    <row r="18" spans="2:22" ht="12.75">
      <c r="B18" s="107" t="s">
        <v>67</v>
      </c>
      <c r="C18" s="945">
        <v>101.6</v>
      </c>
      <c r="D18" s="946">
        <v>102</v>
      </c>
      <c r="E18" s="946">
        <v>109.5</v>
      </c>
      <c r="F18" s="946">
        <v>125</v>
      </c>
      <c r="G18" s="947">
        <v>134.262</v>
      </c>
      <c r="H18" s="945">
        <v>148.717</v>
      </c>
      <c r="I18" s="945">
        <v>161.045</v>
      </c>
      <c r="J18" s="945">
        <v>184.549</v>
      </c>
      <c r="K18" s="945">
        <v>192.596</v>
      </c>
      <c r="L18" s="945">
        <v>220.822</v>
      </c>
      <c r="M18" s="945">
        <v>233.23</v>
      </c>
      <c r="N18" s="945">
        <v>241.788</v>
      </c>
      <c r="O18" s="945">
        <v>258.875</v>
      </c>
      <c r="P18" s="945">
        <v>242.983</v>
      </c>
      <c r="Q18" s="945">
        <v>211.895</v>
      </c>
      <c r="R18" s="945">
        <v>210.068</v>
      </c>
      <c r="S18" s="945">
        <v>206.843</v>
      </c>
      <c r="T18" s="302">
        <v>-1.5352171677742552</v>
      </c>
      <c r="U18" s="107" t="s">
        <v>67</v>
      </c>
      <c r="V18" s="948"/>
    </row>
    <row r="19" spans="2:22" ht="12.75">
      <c r="B19" s="154" t="s">
        <v>68</v>
      </c>
      <c r="C19" s="950">
        <v>178.2</v>
      </c>
      <c r="D19" s="950">
        <v>180</v>
      </c>
      <c r="E19" s="950">
        <v>181.4</v>
      </c>
      <c r="F19" s="950">
        <v>189.1</v>
      </c>
      <c r="G19" s="950">
        <v>204.713</v>
      </c>
      <c r="H19" s="950">
        <v>203.999</v>
      </c>
      <c r="I19" s="950">
        <v>206.87</v>
      </c>
      <c r="J19" s="950">
        <v>204.359</v>
      </c>
      <c r="K19" s="950">
        <v>203.608</v>
      </c>
      <c r="L19" s="950">
        <v>212.201</v>
      </c>
      <c r="M19" s="950">
        <v>205.284</v>
      </c>
      <c r="N19" s="950">
        <v>211.445</v>
      </c>
      <c r="O19" s="950">
        <v>219.212</v>
      </c>
      <c r="P19" s="950">
        <v>206.304</v>
      </c>
      <c r="Q19" s="950">
        <v>173.621</v>
      </c>
      <c r="R19" s="950">
        <v>182.193</v>
      </c>
      <c r="S19" s="950">
        <v>185.685</v>
      </c>
      <c r="T19" s="303">
        <v>1.916648828440165</v>
      </c>
      <c r="U19" s="154" t="s">
        <v>68</v>
      </c>
      <c r="V19" s="948"/>
    </row>
    <row r="20" spans="2:22" ht="12.75">
      <c r="B20" s="107" t="s">
        <v>70</v>
      </c>
      <c r="C20" s="953">
        <v>174.431</v>
      </c>
      <c r="D20" s="953">
        <v>175.45</v>
      </c>
      <c r="E20" s="953">
        <v>178.353</v>
      </c>
      <c r="F20" s="953">
        <v>180.482</v>
      </c>
      <c r="G20" s="951">
        <v>177.291</v>
      </c>
      <c r="H20" s="951">
        <v>184.677</v>
      </c>
      <c r="I20" s="951">
        <v>186.513</v>
      </c>
      <c r="J20" s="951">
        <v>192.681</v>
      </c>
      <c r="K20" s="954">
        <v>174.088</v>
      </c>
      <c r="L20" s="951">
        <v>196.98</v>
      </c>
      <c r="M20" s="951">
        <v>211.804</v>
      </c>
      <c r="N20" s="951">
        <v>187.065</v>
      </c>
      <c r="O20" s="951">
        <v>179.411</v>
      </c>
      <c r="P20" s="951">
        <v>180.461</v>
      </c>
      <c r="Q20" s="951">
        <v>167.627</v>
      </c>
      <c r="R20" s="951">
        <v>175.775</v>
      </c>
      <c r="S20" s="951">
        <v>142.843</v>
      </c>
      <c r="T20" s="316">
        <v>-18.73531503342342</v>
      </c>
      <c r="U20" s="107" t="s">
        <v>70</v>
      </c>
      <c r="V20" s="948"/>
    </row>
    <row r="21" spans="2:22" ht="12.75">
      <c r="B21" s="154" t="s">
        <v>72</v>
      </c>
      <c r="C21" s="949">
        <v>1.2</v>
      </c>
      <c r="D21" s="949">
        <v>1.23</v>
      </c>
      <c r="E21" s="949">
        <v>1.25</v>
      </c>
      <c r="F21" s="949">
        <v>1.29</v>
      </c>
      <c r="G21" s="949">
        <v>1.3</v>
      </c>
      <c r="H21" s="949">
        <v>1.31</v>
      </c>
      <c r="I21" s="949">
        <v>1.32</v>
      </c>
      <c r="J21" s="950">
        <v>1.322</v>
      </c>
      <c r="K21" s="950">
        <v>1.401</v>
      </c>
      <c r="L21" s="950">
        <v>1.119</v>
      </c>
      <c r="M21" s="950">
        <v>1.393</v>
      </c>
      <c r="N21" s="950">
        <v>1.165</v>
      </c>
      <c r="O21" s="950">
        <v>1.202</v>
      </c>
      <c r="P21" s="950">
        <v>1.308</v>
      </c>
      <c r="Q21" s="950">
        <v>0.963</v>
      </c>
      <c r="R21" s="950">
        <v>1.087</v>
      </c>
      <c r="S21" s="950">
        <v>0.941</v>
      </c>
      <c r="T21" s="303">
        <v>-13.431462741490344</v>
      </c>
      <c r="U21" s="154" t="s">
        <v>72</v>
      </c>
      <c r="V21" s="948"/>
    </row>
    <row r="22" spans="2:22" ht="12.75">
      <c r="B22" s="107" t="s">
        <v>73</v>
      </c>
      <c r="C22" s="951">
        <v>1.83</v>
      </c>
      <c r="D22" s="951">
        <v>2.208</v>
      </c>
      <c r="E22" s="951">
        <v>3.352</v>
      </c>
      <c r="F22" s="951">
        <v>4.108</v>
      </c>
      <c r="G22" s="951">
        <v>4.161</v>
      </c>
      <c r="H22" s="951">
        <v>4.789</v>
      </c>
      <c r="I22" s="951">
        <v>5.36</v>
      </c>
      <c r="J22" s="951">
        <v>6.2</v>
      </c>
      <c r="K22" s="951">
        <v>6.808</v>
      </c>
      <c r="L22" s="951">
        <v>7.381</v>
      </c>
      <c r="M22" s="951">
        <v>8.394</v>
      </c>
      <c r="N22" s="951">
        <v>10.753</v>
      </c>
      <c r="O22" s="951">
        <v>13.204</v>
      </c>
      <c r="P22" s="951">
        <v>12.344</v>
      </c>
      <c r="Q22" s="951">
        <v>8.115</v>
      </c>
      <c r="R22" s="951">
        <v>10.59</v>
      </c>
      <c r="S22" s="951">
        <v>12.131</v>
      </c>
      <c r="T22" s="316">
        <v>14.551463644948068</v>
      </c>
      <c r="U22" s="107" t="s">
        <v>73</v>
      </c>
      <c r="V22" s="948"/>
    </row>
    <row r="23" spans="2:22" ht="12.75">
      <c r="B23" s="154" t="s">
        <v>74</v>
      </c>
      <c r="C23" s="950">
        <v>5.2</v>
      </c>
      <c r="D23" s="950">
        <v>4.191</v>
      </c>
      <c r="E23" s="950">
        <v>5.146</v>
      </c>
      <c r="F23" s="950">
        <v>5.611</v>
      </c>
      <c r="G23" s="950">
        <v>7.74</v>
      </c>
      <c r="H23" s="950">
        <v>7.769</v>
      </c>
      <c r="I23" s="950">
        <v>8.274</v>
      </c>
      <c r="J23" s="950">
        <v>10.709</v>
      </c>
      <c r="K23" s="950">
        <v>11.462</v>
      </c>
      <c r="L23" s="950">
        <v>12.279</v>
      </c>
      <c r="M23" s="950">
        <v>15.908</v>
      </c>
      <c r="N23" s="950">
        <v>18.134</v>
      </c>
      <c r="O23" s="950">
        <v>20.278</v>
      </c>
      <c r="P23" s="950">
        <v>20.419</v>
      </c>
      <c r="Q23" s="950">
        <v>17.757</v>
      </c>
      <c r="R23" s="950">
        <v>19.398</v>
      </c>
      <c r="S23" s="950">
        <v>21.512</v>
      </c>
      <c r="T23" s="303">
        <v>10.898030724816996</v>
      </c>
      <c r="U23" s="154" t="s">
        <v>74</v>
      </c>
      <c r="V23" s="948"/>
    </row>
    <row r="24" spans="2:22" ht="12.75">
      <c r="B24" s="107" t="s">
        <v>77</v>
      </c>
      <c r="C24" s="953">
        <v>5.5</v>
      </c>
      <c r="D24" s="953">
        <v>3.5</v>
      </c>
      <c r="E24" s="953">
        <v>4.4</v>
      </c>
      <c r="F24" s="953">
        <v>5</v>
      </c>
      <c r="G24" s="951">
        <v>6.313</v>
      </c>
      <c r="H24" s="951">
        <v>7.609</v>
      </c>
      <c r="I24" s="951">
        <v>8.7</v>
      </c>
      <c r="J24" s="951">
        <v>9.179</v>
      </c>
      <c r="K24" s="951">
        <v>9.645</v>
      </c>
      <c r="L24" s="951">
        <v>9.575</v>
      </c>
      <c r="M24" s="951">
        <v>8.803</v>
      </c>
      <c r="N24" s="951">
        <v>8.807</v>
      </c>
      <c r="O24" s="951">
        <v>9.562</v>
      </c>
      <c r="P24" s="951">
        <v>9.382</v>
      </c>
      <c r="Q24" s="951">
        <v>8.4</v>
      </c>
      <c r="R24" s="951">
        <v>8.694</v>
      </c>
      <c r="S24" s="951">
        <v>8.835</v>
      </c>
      <c r="T24" s="316">
        <v>1.621808143547274</v>
      </c>
      <c r="U24" s="107" t="s">
        <v>77</v>
      </c>
      <c r="V24" s="948"/>
    </row>
    <row r="25" spans="2:22" ht="12.75">
      <c r="B25" s="154" t="s">
        <v>78</v>
      </c>
      <c r="C25" s="949">
        <v>13.8</v>
      </c>
      <c r="D25" s="949">
        <v>14.3</v>
      </c>
      <c r="E25" s="949">
        <v>14.9</v>
      </c>
      <c r="F25" s="950">
        <v>18.674</v>
      </c>
      <c r="G25" s="950">
        <v>18.599</v>
      </c>
      <c r="H25" s="950">
        <v>19.124</v>
      </c>
      <c r="I25" s="950">
        <v>18.486</v>
      </c>
      <c r="J25" s="950">
        <v>17.913</v>
      </c>
      <c r="K25" s="950">
        <v>18.208</v>
      </c>
      <c r="L25" s="950">
        <v>20.608</v>
      </c>
      <c r="M25" s="950">
        <v>25.152</v>
      </c>
      <c r="N25" s="950">
        <v>30.479</v>
      </c>
      <c r="O25" s="950">
        <v>35.805</v>
      </c>
      <c r="P25" s="950">
        <v>35.759</v>
      </c>
      <c r="Q25" s="950">
        <v>35.373</v>
      </c>
      <c r="R25" s="950">
        <v>33.721</v>
      </c>
      <c r="S25" s="950">
        <v>34.529</v>
      </c>
      <c r="T25" s="303">
        <v>2.396132973518007</v>
      </c>
      <c r="U25" s="154" t="s">
        <v>78</v>
      </c>
      <c r="V25" s="948"/>
    </row>
    <row r="26" spans="2:22" ht="12.75">
      <c r="B26" s="107" t="s">
        <v>79</v>
      </c>
      <c r="C26" s="953">
        <v>0.25</v>
      </c>
      <c r="D26" s="953">
        <v>0.25</v>
      </c>
      <c r="E26" s="953">
        <v>0.25</v>
      </c>
      <c r="F26" s="953">
        <v>0.25</v>
      </c>
      <c r="G26" s="953">
        <v>0.25</v>
      </c>
      <c r="H26" s="953">
        <v>0.25</v>
      </c>
      <c r="I26" s="953">
        <v>0.25</v>
      </c>
      <c r="J26" s="953">
        <v>0.25</v>
      </c>
      <c r="K26" s="953">
        <v>0.25</v>
      </c>
      <c r="L26" s="953">
        <v>0.25</v>
      </c>
      <c r="M26" s="953">
        <v>0.25</v>
      </c>
      <c r="N26" s="953">
        <v>0.25</v>
      </c>
      <c r="O26" s="953">
        <v>0.25</v>
      </c>
      <c r="P26" s="953">
        <v>0.25</v>
      </c>
      <c r="Q26" s="953">
        <v>0.25</v>
      </c>
      <c r="R26" s="953">
        <v>0.25</v>
      </c>
      <c r="S26" s="953">
        <v>0.25</v>
      </c>
      <c r="T26" s="299">
        <v>0</v>
      </c>
      <c r="U26" s="107" t="s">
        <v>79</v>
      </c>
      <c r="V26" s="952"/>
    </row>
    <row r="27" spans="2:22" ht="12.75">
      <c r="B27" s="154" t="s">
        <v>16</v>
      </c>
      <c r="C27" s="950">
        <v>67.1</v>
      </c>
      <c r="D27" s="950">
        <v>69.4</v>
      </c>
      <c r="E27" s="950">
        <v>70.6</v>
      </c>
      <c r="F27" s="950">
        <v>78.5</v>
      </c>
      <c r="G27" s="950">
        <v>83.564</v>
      </c>
      <c r="H27" s="950">
        <v>79.565</v>
      </c>
      <c r="I27" s="950">
        <v>78.492</v>
      </c>
      <c r="J27" s="950">
        <v>77.418</v>
      </c>
      <c r="K27" s="950">
        <v>79.765</v>
      </c>
      <c r="L27" s="950">
        <v>89.695</v>
      </c>
      <c r="M27" s="950">
        <v>84.163</v>
      </c>
      <c r="N27" s="950">
        <v>83.193</v>
      </c>
      <c r="O27" s="950">
        <v>77.921</v>
      </c>
      <c r="P27" s="950">
        <v>78.159</v>
      </c>
      <c r="Q27" s="950">
        <v>72.675</v>
      </c>
      <c r="R27" s="950">
        <v>76.339</v>
      </c>
      <c r="S27" s="950">
        <v>73.411</v>
      </c>
      <c r="T27" s="303">
        <v>-3.8355231271040977</v>
      </c>
      <c r="U27" s="154" t="s">
        <v>16</v>
      </c>
      <c r="V27" s="948"/>
    </row>
    <row r="28" spans="2:22" ht="12.75">
      <c r="B28" s="107" t="s">
        <v>82</v>
      </c>
      <c r="C28" s="953">
        <v>26.5</v>
      </c>
      <c r="D28" s="953">
        <v>27.8</v>
      </c>
      <c r="E28" s="953">
        <v>28.6</v>
      </c>
      <c r="F28" s="953">
        <v>30.3</v>
      </c>
      <c r="G28" s="951">
        <v>33.982</v>
      </c>
      <c r="H28" s="951">
        <v>35.122</v>
      </c>
      <c r="I28" s="951">
        <v>37.532</v>
      </c>
      <c r="J28" s="951">
        <v>38.498</v>
      </c>
      <c r="K28" s="951">
        <v>39.557</v>
      </c>
      <c r="L28" s="951">
        <v>39.186</v>
      </c>
      <c r="M28" s="951">
        <v>37.044</v>
      </c>
      <c r="N28" s="951">
        <v>39.187</v>
      </c>
      <c r="O28" s="951">
        <v>37.402</v>
      </c>
      <c r="P28" s="951">
        <v>34.313</v>
      </c>
      <c r="Q28" s="951">
        <v>29.075</v>
      </c>
      <c r="R28" s="951">
        <v>28.659</v>
      </c>
      <c r="S28" s="951">
        <v>28.542</v>
      </c>
      <c r="T28" s="316">
        <v>-0.4082487176803006</v>
      </c>
      <c r="U28" s="107" t="s">
        <v>82</v>
      </c>
      <c r="V28" s="948"/>
    </row>
    <row r="29" spans="2:22" ht="12.75">
      <c r="B29" s="154" t="s">
        <v>81</v>
      </c>
      <c r="C29" s="950">
        <v>51.2</v>
      </c>
      <c r="D29" s="950">
        <v>56.513000000000005</v>
      </c>
      <c r="E29" s="950">
        <v>63.684</v>
      </c>
      <c r="F29" s="950">
        <v>69.542</v>
      </c>
      <c r="G29" s="950">
        <v>70.452</v>
      </c>
      <c r="H29" s="950">
        <v>75.023</v>
      </c>
      <c r="I29" s="950">
        <v>77.228</v>
      </c>
      <c r="J29" s="950">
        <v>80.318</v>
      </c>
      <c r="K29" s="313">
        <v>85.989</v>
      </c>
      <c r="L29" s="950">
        <v>102.807</v>
      </c>
      <c r="M29" s="950">
        <v>111.826</v>
      </c>
      <c r="N29" s="950">
        <v>128.315</v>
      </c>
      <c r="O29" s="950">
        <v>150.879</v>
      </c>
      <c r="P29" s="950">
        <v>164.93</v>
      </c>
      <c r="Q29" s="950">
        <v>180.742</v>
      </c>
      <c r="R29" s="950">
        <v>210.846</v>
      </c>
      <c r="S29" s="950">
        <v>207.651</v>
      </c>
      <c r="T29" s="303">
        <v>-1.5153239805355534</v>
      </c>
      <c r="U29" s="154" t="s">
        <v>81</v>
      </c>
      <c r="V29" s="948"/>
    </row>
    <row r="30" spans="2:22" ht="12.75">
      <c r="B30" s="107" t="s">
        <v>93</v>
      </c>
      <c r="C30" s="953">
        <v>32</v>
      </c>
      <c r="D30" s="953">
        <v>33.64</v>
      </c>
      <c r="E30" s="953">
        <v>35.96</v>
      </c>
      <c r="F30" s="953">
        <v>36.68</v>
      </c>
      <c r="G30" s="953">
        <v>37.83</v>
      </c>
      <c r="H30" s="953">
        <v>38.91</v>
      </c>
      <c r="I30" s="953">
        <v>40.5</v>
      </c>
      <c r="J30" s="953">
        <v>40.2</v>
      </c>
      <c r="K30" s="946">
        <v>39.76</v>
      </c>
      <c r="L30" s="945">
        <v>40.819</v>
      </c>
      <c r="M30" s="951">
        <v>42.607</v>
      </c>
      <c r="N30" s="951">
        <v>44.835</v>
      </c>
      <c r="O30" s="951">
        <v>46.203</v>
      </c>
      <c r="P30" s="951">
        <v>39.091</v>
      </c>
      <c r="Q30" s="951">
        <v>35.808</v>
      </c>
      <c r="R30" s="951">
        <v>35.368</v>
      </c>
      <c r="S30" s="951">
        <v>36.453</v>
      </c>
      <c r="T30" s="316">
        <v>3.0677448541054084</v>
      </c>
      <c r="U30" s="107" t="s">
        <v>93</v>
      </c>
      <c r="V30" s="948"/>
    </row>
    <row r="31" spans="2:22" ht="12.75">
      <c r="B31" s="154" t="s">
        <v>103</v>
      </c>
      <c r="C31" s="950">
        <v>19.7</v>
      </c>
      <c r="D31" s="950">
        <v>19.8</v>
      </c>
      <c r="E31" s="950">
        <v>21.8</v>
      </c>
      <c r="F31" s="950">
        <v>15.785</v>
      </c>
      <c r="G31" s="950">
        <v>13.456</v>
      </c>
      <c r="H31" s="950">
        <v>14.288</v>
      </c>
      <c r="I31" s="950">
        <v>18.544</v>
      </c>
      <c r="J31" s="950">
        <v>25.35</v>
      </c>
      <c r="K31" s="950">
        <v>30.853</v>
      </c>
      <c r="L31" s="950">
        <v>37.22</v>
      </c>
      <c r="M31" s="950">
        <v>51.532</v>
      </c>
      <c r="N31" s="950">
        <v>57.288</v>
      </c>
      <c r="O31" s="950">
        <v>59.524</v>
      </c>
      <c r="P31" s="950">
        <v>56.386</v>
      </c>
      <c r="Q31" s="950">
        <v>34.269</v>
      </c>
      <c r="R31" s="950">
        <v>25.889</v>
      </c>
      <c r="S31" s="950">
        <v>26.349</v>
      </c>
      <c r="T31" s="303">
        <v>1.7768164085132716</v>
      </c>
      <c r="U31" s="154" t="s">
        <v>103</v>
      </c>
      <c r="V31" s="948"/>
    </row>
    <row r="32" spans="2:22" ht="12.75">
      <c r="B32" s="107" t="s">
        <v>84</v>
      </c>
      <c r="C32" s="946">
        <v>3.3</v>
      </c>
      <c r="D32" s="946">
        <v>3.5</v>
      </c>
      <c r="E32" s="946">
        <v>3.9</v>
      </c>
      <c r="F32" s="946">
        <v>3.8</v>
      </c>
      <c r="G32" s="946">
        <v>4.2</v>
      </c>
      <c r="H32" s="945">
        <v>5.3</v>
      </c>
      <c r="I32" s="945">
        <v>7.035</v>
      </c>
      <c r="J32" s="945">
        <v>6.609</v>
      </c>
      <c r="K32" s="945">
        <v>7.04</v>
      </c>
      <c r="L32" s="945">
        <v>9.007</v>
      </c>
      <c r="M32" s="945">
        <v>11.032</v>
      </c>
      <c r="N32" s="945">
        <v>12.112</v>
      </c>
      <c r="O32" s="945">
        <v>13.734</v>
      </c>
      <c r="P32" s="945">
        <v>16.261</v>
      </c>
      <c r="Q32" s="945">
        <v>14.762</v>
      </c>
      <c r="R32" s="945">
        <v>15.931</v>
      </c>
      <c r="S32" s="945">
        <v>16.439</v>
      </c>
      <c r="T32" s="302">
        <v>3.188751490804098</v>
      </c>
      <c r="U32" s="107" t="s">
        <v>84</v>
      </c>
      <c r="V32" s="948"/>
    </row>
    <row r="33" spans="2:22" ht="12.75">
      <c r="B33" s="154" t="s">
        <v>86</v>
      </c>
      <c r="C33" s="949">
        <v>15.9</v>
      </c>
      <c r="D33" s="950">
        <v>15.85</v>
      </c>
      <c r="E33" s="950">
        <v>15.35</v>
      </c>
      <c r="F33" s="950">
        <v>17.88</v>
      </c>
      <c r="G33" s="950">
        <v>18.52</v>
      </c>
      <c r="H33" s="950">
        <v>14.34</v>
      </c>
      <c r="I33" s="950">
        <v>13.8</v>
      </c>
      <c r="J33" s="950">
        <v>14.93</v>
      </c>
      <c r="K33" s="950">
        <v>16.748</v>
      </c>
      <c r="L33" s="950">
        <v>18.527</v>
      </c>
      <c r="M33" s="950">
        <v>22.566</v>
      </c>
      <c r="N33" s="950">
        <v>22.212</v>
      </c>
      <c r="O33" s="950">
        <v>27.159</v>
      </c>
      <c r="P33" s="950">
        <v>29.276</v>
      </c>
      <c r="Q33" s="950">
        <v>27.705</v>
      </c>
      <c r="R33" s="950">
        <v>27.575</v>
      </c>
      <c r="S33" s="950">
        <v>29.179</v>
      </c>
      <c r="T33" s="303">
        <v>5.81686310063463</v>
      </c>
      <c r="U33" s="154" t="s">
        <v>86</v>
      </c>
      <c r="V33" s="948"/>
    </row>
    <row r="34" spans="2:22" ht="12.75">
      <c r="B34" s="107" t="s">
        <v>88</v>
      </c>
      <c r="C34" s="945">
        <v>24.5</v>
      </c>
      <c r="D34" s="945">
        <v>25</v>
      </c>
      <c r="E34" s="945">
        <v>25.7</v>
      </c>
      <c r="F34" s="945">
        <v>28.1</v>
      </c>
      <c r="G34" s="945">
        <v>29.656</v>
      </c>
      <c r="H34" s="945">
        <v>31.975</v>
      </c>
      <c r="I34" s="945">
        <v>30.478</v>
      </c>
      <c r="J34" s="945">
        <v>31.967</v>
      </c>
      <c r="K34" s="945">
        <v>30.926</v>
      </c>
      <c r="L34" s="945">
        <v>32.29</v>
      </c>
      <c r="M34" s="945">
        <v>31.857</v>
      </c>
      <c r="N34" s="945">
        <v>29.715</v>
      </c>
      <c r="O34" s="945">
        <v>29.819</v>
      </c>
      <c r="P34" s="945">
        <v>31.036</v>
      </c>
      <c r="Q34" s="945">
        <v>27.805</v>
      </c>
      <c r="R34" s="945">
        <v>29.532</v>
      </c>
      <c r="S34" s="945">
        <v>26.863</v>
      </c>
      <c r="T34" s="302">
        <v>-9.037654070161183</v>
      </c>
      <c r="U34" s="107" t="s">
        <v>88</v>
      </c>
      <c r="V34" s="948"/>
    </row>
    <row r="35" spans="2:22" ht="12.75">
      <c r="B35" s="154" t="s">
        <v>89</v>
      </c>
      <c r="C35" s="950">
        <v>31.6</v>
      </c>
      <c r="D35" s="950">
        <v>33.3</v>
      </c>
      <c r="E35" s="949">
        <v>35.1</v>
      </c>
      <c r="F35" s="949">
        <v>33.3</v>
      </c>
      <c r="G35" s="949">
        <v>33.2</v>
      </c>
      <c r="H35" s="950">
        <v>35.621</v>
      </c>
      <c r="I35" s="950">
        <v>34.158</v>
      </c>
      <c r="J35" s="950">
        <v>36.652</v>
      </c>
      <c r="K35" s="950">
        <v>36.638</v>
      </c>
      <c r="L35" s="950">
        <v>36.949</v>
      </c>
      <c r="M35" s="950">
        <v>38.575</v>
      </c>
      <c r="N35" s="950">
        <v>39.918</v>
      </c>
      <c r="O35" s="950">
        <v>40.54</v>
      </c>
      <c r="P35" s="950">
        <v>42.37</v>
      </c>
      <c r="Q35" s="950">
        <v>35.047</v>
      </c>
      <c r="R35" s="950">
        <v>36.268</v>
      </c>
      <c r="S35" s="950">
        <v>36.932</v>
      </c>
      <c r="T35" s="303">
        <v>1.830815043564579</v>
      </c>
      <c r="U35" s="154" t="s">
        <v>89</v>
      </c>
      <c r="V35" s="948"/>
    </row>
    <row r="36" spans="2:22" ht="12.75">
      <c r="B36" s="109" t="s">
        <v>13</v>
      </c>
      <c r="C36" s="945">
        <v>161.5</v>
      </c>
      <c r="D36" s="945">
        <v>166.2</v>
      </c>
      <c r="E36" s="946">
        <v>169.2</v>
      </c>
      <c r="F36" s="946">
        <v>172</v>
      </c>
      <c r="G36" s="945">
        <v>166.26</v>
      </c>
      <c r="H36" s="945">
        <v>165.621</v>
      </c>
      <c r="I36" s="945">
        <v>163.264</v>
      </c>
      <c r="J36" s="945">
        <v>164.035</v>
      </c>
      <c r="K36" s="945">
        <v>167.143</v>
      </c>
      <c r="L36" s="945">
        <v>162.654</v>
      </c>
      <c r="M36" s="945">
        <v>161.285</v>
      </c>
      <c r="N36" s="945">
        <v>165.479</v>
      </c>
      <c r="O36" s="945">
        <v>170.991</v>
      </c>
      <c r="P36" s="945">
        <v>160.296</v>
      </c>
      <c r="Q36" s="945">
        <v>139.536</v>
      </c>
      <c r="R36" s="945">
        <v>146.685</v>
      </c>
      <c r="S36" s="946">
        <v>152.994</v>
      </c>
      <c r="T36" s="955">
        <v>4.301053277431229</v>
      </c>
      <c r="U36" s="109" t="s">
        <v>13</v>
      </c>
      <c r="V36" s="948"/>
    </row>
    <row r="37" spans="2:22" ht="12.75">
      <c r="B37" s="154" t="s">
        <v>164</v>
      </c>
      <c r="C37" s="956" t="s">
        <v>100</v>
      </c>
      <c r="D37" s="957" t="s">
        <v>100</v>
      </c>
      <c r="E37" s="957" t="s">
        <v>100</v>
      </c>
      <c r="F37" s="957" t="s">
        <v>100</v>
      </c>
      <c r="G37" s="957">
        <v>2.424</v>
      </c>
      <c r="H37" s="957">
        <v>2.856</v>
      </c>
      <c r="I37" s="957">
        <v>6.7829999999999995</v>
      </c>
      <c r="J37" s="957">
        <v>7.413</v>
      </c>
      <c r="K37" s="957">
        <v>8.241</v>
      </c>
      <c r="L37" s="957">
        <v>8.818999999999999</v>
      </c>
      <c r="M37" s="957">
        <v>9.328</v>
      </c>
      <c r="N37" s="957">
        <v>10.175</v>
      </c>
      <c r="O37" s="957">
        <v>10.502</v>
      </c>
      <c r="P37" s="957">
        <v>11.042</v>
      </c>
      <c r="Q37" s="957">
        <v>9.426</v>
      </c>
      <c r="R37" s="957">
        <v>8.78</v>
      </c>
      <c r="S37" s="957">
        <v>8.926</v>
      </c>
      <c r="T37" s="958">
        <v>1.662870159453312</v>
      </c>
      <c r="U37" s="154" t="s">
        <v>164</v>
      </c>
      <c r="V37" s="948"/>
    </row>
    <row r="38" spans="2:22" ht="12.75">
      <c r="B38" s="107" t="s">
        <v>165</v>
      </c>
      <c r="C38" s="959"/>
      <c r="D38" s="951"/>
      <c r="E38" s="951"/>
      <c r="F38" s="951"/>
      <c r="G38" s="951"/>
      <c r="H38" s="953">
        <v>3.5</v>
      </c>
      <c r="I38" s="951">
        <v>3.131</v>
      </c>
      <c r="J38" s="953">
        <v>4</v>
      </c>
      <c r="K38" s="951">
        <v>5.451</v>
      </c>
      <c r="L38" s="951">
        <v>5.341</v>
      </c>
      <c r="M38" s="951">
        <v>5.577</v>
      </c>
      <c r="N38" s="951">
        <v>8.299</v>
      </c>
      <c r="O38" s="951">
        <v>5.938</v>
      </c>
      <c r="P38" s="951">
        <v>3.978</v>
      </c>
      <c r="Q38" s="951">
        <v>4.035</v>
      </c>
      <c r="R38" s="951">
        <v>4.235</v>
      </c>
      <c r="S38" s="951">
        <v>5.381</v>
      </c>
      <c r="T38" s="316">
        <v>27.060212514757964</v>
      </c>
      <c r="U38" s="107" t="s">
        <v>165</v>
      </c>
      <c r="V38" s="948"/>
    </row>
    <row r="39" spans="2:22" ht="12.75">
      <c r="B39" s="156" t="s">
        <v>309</v>
      </c>
      <c r="C39" s="960">
        <v>112.5</v>
      </c>
      <c r="D39" s="961">
        <v>135.8</v>
      </c>
      <c r="E39" s="961">
        <v>139.8</v>
      </c>
      <c r="F39" s="961">
        <v>152.21</v>
      </c>
      <c r="G39" s="961">
        <v>150.974</v>
      </c>
      <c r="H39" s="961">
        <v>161.552</v>
      </c>
      <c r="I39" s="961">
        <v>151.421</v>
      </c>
      <c r="J39" s="961">
        <v>150.912</v>
      </c>
      <c r="K39" s="961">
        <v>152.163</v>
      </c>
      <c r="L39" s="961">
        <v>156.853</v>
      </c>
      <c r="M39" s="961">
        <v>166.831</v>
      </c>
      <c r="N39" s="961">
        <v>177.399</v>
      </c>
      <c r="O39" s="961">
        <v>181.33</v>
      </c>
      <c r="P39" s="961">
        <v>181.935</v>
      </c>
      <c r="Q39" s="961">
        <v>176.455</v>
      </c>
      <c r="R39" s="961">
        <v>190.365</v>
      </c>
      <c r="S39" s="961">
        <v>203.072</v>
      </c>
      <c r="T39" s="404">
        <v>6.675071573030753</v>
      </c>
      <c r="U39" s="156" t="s">
        <v>309</v>
      </c>
      <c r="V39" s="948"/>
    </row>
    <row r="40" spans="2:22" ht="12.75">
      <c r="B40" s="107" t="s">
        <v>167</v>
      </c>
      <c r="C40" s="953">
        <v>0.5</v>
      </c>
      <c r="D40" s="953">
        <v>0.5</v>
      </c>
      <c r="E40" s="953">
        <v>0.5</v>
      </c>
      <c r="F40" s="953">
        <v>0.5</v>
      </c>
      <c r="G40" s="953">
        <v>0.6</v>
      </c>
      <c r="H40" s="953">
        <v>0.6</v>
      </c>
      <c r="I40" s="951">
        <v>0.642</v>
      </c>
      <c r="J40" s="951">
        <v>0.66</v>
      </c>
      <c r="K40" s="951">
        <v>0.679</v>
      </c>
      <c r="L40" s="951">
        <v>0.699</v>
      </c>
      <c r="M40" s="951">
        <v>0.741</v>
      </c>
      <c r="N40" s="951">
        <v>0.786</v>
      </c>
      <c r="O40" s="951">
        <v>0.825</v>
      </c>
      <c r="P40" s="951">
        <v>0.805</v>
      </c>
      <c r="Q40" s="951">
        <v>0.813</v>
      </c>
      <c r="R40" s="951">
        <v>0.806</v>
      </c>
      <c r="S40" s="953">
        <v>0.8079999999999999</v>
      </c>
      <c r="T40" s="962">
        <v>0.2481389578163636</v>
      </c>
      <c r="U40" s="107" t="s">
        <v>167</v>
      </c>
      <c r="V40" s="948"/>
    </row>
    <row r="41" spans="2:22" ht="12.75">
      <c r="B41" s="154" t="s">
        <v>168</v>
      </c>
      <c r="C41" s="950">
        <v>9.7</v>
      </c>
      <c r="D41" s="950">
        <v>12.5</v>
      </c>
      <c r="E41" s="950">
        <v>14.1</v>
      </c>
      <c r="F41" s="950">
        <v>14.8</v>
      </c>
      <c r="G41" s="950">
        <v>14.916</v>
      </c>
      <c r="H41" s="950">
        <v>15.132</v>
      </c>
      <c r="I41" s="950">
        <v>15.179</v>
      </c>
      <c r="J41" s="950">
        <v>15.426</v>
      </c>
      <c r="K41" s="950">
        <v>16.59</v>
      </c>
      <c r="L41" s="950">
        <v>17.46</v>
      </c>
      <c r="M41" s="950">
        <v>18.247</v>
      </c>
      <c r="N41" s="950">
        <v>19.387</v>
      </c>
      <c r="O41" s="950">
        <v>19.375</v>
      </c>
      <c r="P41" s="950">
        <v>20.595</v>
      </c>
      <c r="Q41" s="950">
        <v>18.447</v>
      </c>
      <c r="R41" s="950">
        <v>19.751</v>
      </c>
      <c r="S41" s="950">
        <v>19.188</v>
      </c>
      <c r="T41" s="303">
        <v>-2.8504885828565762</v>
      </c>
      <c r="U41" s="154" t="s">
        <v>168</v>
      </c>
      <c r="V41" s="948"/>
    </row>
    <row r="42" spans="2:22" ht="12.75">
      <c r="B42" s="109" t="s">
        <v>310</v>
      </c>
      <c r="C42" s="963">
        <v>9.1107</v>
      </c>
      <c r="D42" s="963">
        <v>8.9961</v>
      </c>
      <c r="E42" s="963">
        <v>9.1339</v>
      </c>
      <c r="F42" s="963">
        <v>9.5456</v>
      </c>
      <c r="G42" s="963">
        <v>9.565</v>
      </c>
      <c r="H42" s="963">
        <v>9.7913</v>
      </c>
      <c r="I42" s="963">
        <v>9.5618</v>
      </c>
      <c r="J42" s="963">
        <v>9.8147</v>
      </c>
      <c r="K42" s="963">
        <v>9.8916</v>
      </c>
      <c r="L42" s="963">
        <v>10.126178484062402</v>
      </c>
      <c r="M42" s="963">
        <v>10.198044499594255</v>
      </c>
      <c r="N42" s="963">
        <v>10.43279130775176</v>
      </c>
      <c r="O42" s="963">
        <v>10.79415384490122</v>
      </c>
      <c r="P42" s="964">
        <v>13.911</v>
      </c>
      <c r="Q42" s="963">
        <v>13.174</v>
      </c>
      <c r="R42" s="963">
        <v>13.237</v>
      </c>
      <c r="S42" s="963">
        <v>13.567</v>
      </c>
      <c r="T42" s="408">
        <v>2.493012011785148</v>
      </c>
      <c r="U42" s="109" t="s">
        <v>310</v>
      </c>
      <c r="V42" s="948"/>
    </row>
    <row r="43" spans="2:22" ht="12.75">
      <c r="B43" s="1081" t="s">
        <v>311</v>
      </c>
      <c r="C43" s="1081"/>
      <c r="D43" s="1081"/>
      <c r="E43" s="1081"/>
      <c r="F43" s="1081"/>
      <c r="G43" s="1081"/>
      <c r="H43" s="1081"/>
      <c r="I43" s="1081"/>
      <c r="J43" s="1081"/>
      <c r="K43" s="1081"/>
      <c r="L43" s="1081"/>
      <c r="M43" s="1081"/>
      <c r="N43" s="1081"/>
      <c r="O43" s="1081"/>
      <c r="P43" s="1081"/>
      <c r="Q43" s="1081"/>
      <c r="R43" s="1081"/>
      <c r="S43" s="1081"/>
      <c r="T43" s="1081"/>
      <c r="U43" s="1081"/>
      <c r="V43" s="1081"/>
    </row>
    <row r="44" ht="12.75">
      <c r="B44" s="135" t="s">
        <v>197</v>
      </c>
    </row>
    <row r="45" ht="12.75">
      <c r="B45" s="101" t="s">
        <v>312</v>
      </c>
    </row>
    <row r="46" ht="12.75">
      <c r="B46" s="268" t="s">
        <v>313</v>
      </c>
    </row>
    <row r="47" spans="2:13" ht="12.75">
      <c r="B47" s="383" t="s">
        <v>314</v>
      </c>
      <c r="C47" s="965"/>
      <c r="D47" s="965"/>
      <c r="E47" s="965"/>
      <c r="F47" s="965"/>
      <c r="G47" s="965"/>
      <c r="H47" s="965"/>
      <c r="I47" s="965"/>
      <c r="J47" s="965"/>
      <c r="K47" s="965"/>
      <c r="L47" s="965"/>
      <c r="M47" s="965"/>
    </row>
    <row r="48" spans="2:22" ht="12.75">
      <c r="B48" s="1082" t="s">
        <v>315</v>
      </c>
      <c r="C48" s="1082"/>
      <c r="D48" s="1082"/>
      <c r="E48" s="1082"/>
      <c r="F48" s="1082"/>
      <c r="G48" s="1082"/>
      <c r="H48" s="1082"/>
      <c r="I48" s="1082"/>
      <c r="J48" s="1082"/>
      <c r="K48" s="1082"/>
      <c r="L48" s="1082"/>
      <c r="M48" s="1082"/>
      <c r="N48" s="1082"/>
      <c r="O48" s="1082"/>
      <c r="P48" s="1082"/>
      <c r="Q48" s="1082"/>
      <c r="R48" s="1082"/>
      <c r="S48" s="1082"/>
      <c r="T48" s="1082"/>
      <c r="U48" s="1082"/>
      <c r="V48" s="1082"/>
    </row>
  </sheetData>
  <sheetProtection/>
  <mergeCells count="4">
    <mergeCell ref="B2:V2"/>
    <mergeCell ref="B3:V3"/>
    <mergeCell ref="B43:V43"/>
    <mergeCell ref="B48:V4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AA63"/>
  <sheetViews>
    <sheetView zoomScalePageLayoutView="0" workbookViewId="0" topLeftCell="I1">
      <selection activeCell="N35" sqref="N9:N35"/>
    </sheetView>
  </sheetViews>
  <sheetFormatPr defaultColWidth="9.140625" defaultRowHeight="12.75"/>
  <cols>
    <col min="1" max="27" width="9.140625" style="101" customWidth="1"/>
  </cols>
  <sheetData>
    <row r="1" spans="1:27" ht="15.75">
      <c r="A1" s="263"/>
      <c r="B1" s="558"/>
      <c r="C1" s="558"/>
      <c r="D1" s="100"/>
      <c r="E1" s="100"/>
      <c r="F1" s="100"/>
      <c r="G1" s="100"/>
      <c r="H1" s="100"/>
      <c r="I1" s="100"/>
      <c r="J1" s="100"/>
      <c r="K1" s="100"/>
      <c r="L1" s="100"/>
      <c r="M1" s="100"/>
      <c r="N1" s="100"/>
      <c r="O1" s="100"/>
      <c r="P1" s="100"/>
      <c r="T1" s="102"/>
      <c r="U1" s="102"/>
      <c r="V1" s="102"/>
      <c r="W1" s="102"/>
      <c r="X1" s="102"/>
      <c r="Y1" s="102"/>
      <c r="AA1" s="102" t="s">
        <v>316</v>
      </c>
    </row>
    <row r="2" spans="1:27" ht="15.75">
      <c r="A2" s="1083" t="s">
        <v>22</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row>
    <row r="3" spans="1:27" ht="12.75">
      <c r="A3" s="142"/>
      <c r="B3" s="142"/>
      <c r="D3" s="333"/>
      <c r="E3" s="333"/>
      <c r="F3" s="333"/>
      <c r="G3" s="333"/>
      <c r="H3" s="333"/>
      <c r="J3" s="560"/>
      <c r="K3" s="560"/>
      <c r="L3" s="560"/>
      <c r="M3" s="560"/>
      <c r="N3" s="560"/>
      <c r="P3" s="966"/>
      <c r="Q3" s="966"/>
      <c r="W3" s="269" t="s">
        <v>308</v>
      </c>
      <c r="X3" s="269"/>
      <c r="Y3" s="269"/>
      <c r="Z3" s="270"/>
      <c r="AA3" s="967"/>
    </row>
    <row r="4" spans="1:27" ht="18.75">
      <c r="A4" s="103"/>
      <c r="B4" s="104">
        <v>1970</v>
      </c>
      <c r="C4" s="104">
        <v>1980</v>
      </c>
      <c r="D4" s="106">
        <v>1990</v>
      </c>
      <c r="E4" s="106">
        <v>1991</v>
      </c>
      <c r="F4" s="106">
        <v>1992</v>
      </c>
      <c r="G4" s="106">
        <v>1993</v>
      </c>
      <c r="H4" s="106">
        <v>1994</v>
      </c>
      <c r="I4" s="106">
        <v>1995</v>
      </c>
      <c r="J4" s="106">
        <v>1996</v>
      </c>
      <c r="K4" s="106">
        <v>1997</v>
      </c>
      <c r="L4" s="106">
        <v>1998</v>
      </c>
      <c r="M4" s="106">
        <v>1999</v>
      </c>
      <c r="N4" s="106">
        <v>2000</v>
      </c>
      <c r="O4" s="106">
        <v>2001</v>
      </c>
      <c r="P4" s="106">
        <v>2002</v>
      </c>
      <c r="Q4" s="106">
        <v>2003</v>
      </c>
      <c r="R4" s="106">
        <v>2004</v>
      </c>
      <c r="S4" s="106">
        <v>2005</v>
      </c>
      <c r="T4" s="106">
        <v>2006</v>
      </c>
      <c r="U4" s="106">
        <v>2007</v>
      </c>
      <c r="V4" s="106">
        <v>2008</v>
      </c>
      <c r="W4" s="106">
        <v>2009</v>
      </c>
      <c r="X4" s="106">
        <v>2010</v>
      </c>
      <c r="Y4" s="106">
        <v>2011</v>
      </c>
      <c r="Z4" s="141" t="s">
        <v>159</v>
      </c>
      <c r="AA4" s="346"/>
    </row>
    <row r="5" spans="1:27" ht="12.75">
      <c r="A5" s="143"/>
      <c r="B5" s="145"/>
      <c r="C5" s="145"/>
      <c r="D5" s="146"/>
      <c r="E5" s="146"/>
      <c r="F5" s="146"/>
      <c r="G5" s="146"/>
      <c r="H5" s="146"/>
      <c r="I5" s="146"/>
      <c r="J5" s="146"/>
      <c r="K5" s="146"/>
      <c r="L5" s="146"/>
      <c r="M5" s="146"/>
      <c r="N5" s="146"/>
      <c r="O5" s="146"/>
      <c r="P5" s="146"/>
      <c r="Q5" s="146"/>
      <c r="R5" s="146"/>
      <c r="S5" s="146"/>
      <c r="T5" s="146"/>
      <c r="U5" s="146"/>
      <c r="V5" s="146"/>
      <c r="W5" s="146"/>
      <c r="X5" s="146"/>
      <c r="Y5" s="146"/>
      <c r="Z5" s="272" t="s">
        <v>160</v>
      </c>
      <c r="AA5" s="936"/>
    </row>
    <row r="6" spans="1:27" ht="12.75">
      <c r="A6" s="148" t="s">
        <v>161</v>
      </c>
      <c r="B6" s="968">
        <v>551.069</v>
      </c>
      <c r="C6" s="968">
        <v>641.432</v>
      </c>
      <c r="D6" s="226">
        <v>526.343</v>
      </c>
      <c r="E6" s="226">
        <v>443.929011</v>
      </c>
      <c r="F6" s="226">
        <v>394.464591</v>
      </c>
      <c r="G6" s="226">
        <v>371.69550899999996</v>
      </c>
      <c r="H6" s="226">
        <v>380.15225799999996</v>
      </c>
      <c r="I6" s="226">
        <v>386.14406800000006</v>
      </c>
      <c r="J6" s="226">
        <v>392.1460000000001</v>
      </c>
      <c r="K6" s="226">
        <v>409.5369999999999</v>
      </c>
      <c r="L6" s="226">
        <v>392.506525</v>
      </c>
      <c r="M6" s="226">
        <v>383.62501500293985</v>
      </c>
      <c r="N6" s="226">
        <v>403.6757546422241</v>
      </c>
      <c r="O6" s="226">
        <v>385.9743022522569</v>
      </c>
      <c r="P6" s="226">
        <v>383.777192553031</v>
      </c>
      <c r="Q6" s="226">
        <v>391.888268754624</v>
      </c>
      <c r="R6" s="226">
        <v>416.833370260433</v>
      </c>
      <c r="S6" s="226">
        <v>413.18918045013305</v>
      </c>
      <c r="T6" s="226">
        <v>434.859920252945</v>
      </c>
      <c r="U6" s="226">
        <v>448.426</v>
      </c>
      <c r="V6" s="226">
        <v>439.56299999999993</v>
      </c>
      <c r="W6" s="226">
        <v>361.031</v>
      </c>
      <c r="X6" s="226">
        <v>391.21100000000007</v>
      </c>
      <c r="Y6" s="226">
        <v>419.95599999999985</v>
      </c>
      <c r="Z6" s="968">
        <v>7.347697278450704</v>
      </c>
      <c r="AA6" s="389" t="s">
        <v>161</v>
      </c>
    </row>
    <row r="7" spans="1:27" ht="12.75">
      <c r="A7" s="154" t="s">
        <v>162</v>
      </c>
      <c r="B7" s="969">
        <v>282.45900000000006</v>
      </c>
      <c r="C7" s="969">
        <v>289.822</v>
      </c>
      <c r="D7" s="229">
        <v>256.511</v>
      </c>
      <c r="E7" s="229">
        <v>235.66801100000004</v>
      </c>
      <c r="F7" s="229">
        <v>223.08759099999997</v>
      </c>
      <c r="G7" s="229">
        <v>205.43950900000002</v>
      </c>
      <c r="H7" s="229">
        <v>219.616258</v>
      </c>
      <c r="I7" s="229">
        <v>222.73306799999997</v>
      </c>
      <c r="J7" s="229">
        <v>223.77200000000002</v>
      </c>
      <c r="K7" s="229">
        <v>240.20200000000006</v>
      </c>
      <c r="L7" s="229">
        <v>239.98352500000004</v>
      </c>
      <c r="M7" s="229">
        <v>243.43601500294</v>
      </c>
      <c r="N7" s="229">
        <v>257.067754642224</v>
      </c>
      <c r="O7" s="229">
        <v>248.427302252257</v>
      </c>
      <c r="P7" s="229">
        <v>245.78019255303101</v>
      </c>
      <c r="Q7" s="229">
        <v>248.479268754624</v>
      </c>
      <c r="R7" s="229">
        <v>264.833370260433</v>
      </c>
      <c r="S7" s="229">
        <v>261.933180450133</v>
      </c>
      <c r="T7" s="229">
        <v>280.598920252945</v>
      </c>
      <c r="U7" s="229">
        <v>292.457</v>
      </c>
      <c r="V7" s="229">
        <v>289.189</v>
      </c>
      <c r="W7" s="229">
        <v>236.548</v>
      </c>
      <c r="X7" s="229">
        <v>255.714</v>
      </c>
      <c r="Y7" s="229">
        <v>270.28499999999997</v>
      </c>
      <c r="Z7" s="969">
        <v>5.698162791243333</v>
      </c>
      <c r="AA7" s="391" t="s">
        <v>162</v>
      </c>
    </row>
    <row r="8" spans="1:27" ht="12.75">
      <c r="A8" s="156" t="s">
        <v>163</v>
      </c>
      <c r="B8" s="970">
        <v>268.6099999999999</v>
      </c>
      <c r="C8" s="970">
        <v>351.61</v>
      </c>
      <c r="D8" s="232">
        <v>269.83199999999994</v>
      </c>
      <c r="E8" s="232">
        <v>208.26099999999997</v>
      </c>
      <c r="F8" s="232">
        <v>171.377</v>
      </c>
      <c r="G8" s="232">
        <v>166.25599999999994</v>
      </c>
      <c r="H8" s="232">
        <v>160.53599999999997</v>
      </c>
      <c r="I8" s="232">
        <v>163.4110000000001</v>
      </c>
      <c r="J8" s="232">
        <v>168.37400000000005</v>
      </c>
      <c r="K8" s="232">
        <v>169.33499999999987</v>
      </c>
      <c r="L8" s="232">
        <v>152.52299999999997</v>
      </c>
      <c r="M8" s="232">
        <v>140.18899999999985</v>
      </c>
      <c r="N8" s="232">
        <v>146.60800000000012</v>
      </c>
      <c r="O8" s="232">
        <v>137.5469999999999</v>
      </c>
      <c r="P8" s="232">
        <v>137.99699999999999</v>
      </c>
      <c r="Q8" s="232">
        <v>143.409</v>
      </c>
      <c r="R8" s="232">
        <v>152</v>
      </c>
      <c r="S8" s="232">
        <v>151.25600000000003</v>
      </c>
      <c r="T8" s="232">
        <v>154.26100000000002</v>
      </c>
      <c r="U8" s="232">
        <v>155.969</v>
      </c>
      <c r="V8" s="232">
        <v>150.3739999999999</v>
      </c>
      <c r="W8" s="232">
        <v>124.483</v>
      </c>
      <c r="X8" s="232">
        <v>135.49700000000007</v>
      </c>
      <c r="Y8" s="232">
        <v>149.67099999999988</v>
      </c>
      <c r="Z8" s="970">
        <v>10.460748208447267</v>
      </c>
      <c r="AA8" s="579" t="s">
        <v>163</v>
      </c>
    </row>
    <row r="9" spans="1:27" ht="12.75">
      <c r="A9" s="107" t="s">
        <v>61</v>
      </c>
      <c r="B9" s="328">
        <v>7.876</v>
      </c>
      <c r="C9" s="328">
        <v>8.037</v>
      </c>
      <c r="D9" s="329">
        <v>8.37</v>
      </c>
      <c r="E9" s="329">
        <v>8.203</v>
      </c>
      <c r="F9" s="329">
        <v>8.361</v>
      </c>
      <c r="G9" s="329">
        <v>7.596</v>
      </c>
      <c r="H9" s="329">
        <v>8.097</v>
      </c>
      <c r="I9" s="329">
        <v>7.304</v>
      </c>
      <c r="J9" s="329">
        <v>7.244</v>
      </c>
      <c r="K9" s="329">
        <v>7.465</v>
      </c>
      <c r="L9" s="329">
        <v>7.6</v>
      </c>
      <c r="M9" s="329">
        <v>7.392</v>
      </c>
      <c r="N9" s="329">
        <v>7.674</v>
      </c>
      <c r="O9" s="329">
        <v>7.081</v>
      </c>
      <c r="P9" s="329">
        <v>7.297</v>
      </c>
      <c r="Q9" s="329">
        <v>7.293</v>
      </c>
      <c r="R9" s="329">
        <v>7.691</v>
      </c>
      <c r="S9" s="329">
        <v>8.13</v>
      </c>
      <c r="T9" s="329">
        <v>8.572</v>
      </c>
      <c r="U9" s="329">
        <v>9.258</v>
      </c>
      <c r="V9" s="329">
        <v>8.927</v>
      </c>
      <c r="W9" s="329">
        <v>6.374</v>
      </c>
      <c r="X9" s="329">
        <v>7.476</v>
      </c>
      <c r="Y9" s="329">
        <v>7.593</v>
      </c>
      <c r="Z9" s="302">
        <v>1.5650080256821797</v>
      </c>
      <c r="AA9" s="107" t="s">
        <v>61</v>
      </c>
    </row>
    <row r="10" spans="1:27" ht="12.75">
      <c r="A10" s="154" t="s">
        <v>102</v>
      </c>
      <c r="B10" s="288">
        <v>13.7</v>
      </c>
      <c r="C10" s="288">
        <v>17.68</v>
      </c>
      <c r="D10" s="235">
        <v>14.13</v>
      </c>
      <c r="E10" s="235">
        <v>8.7</v>
      </c>
      <c r="F10" s="235">
        <v>7.76</v>
      </c>
      <c r="G10" s="235">
        <v>7.7</v>
      </c>
      <c r="H10" s="235">
        <v>7.77</v>
      </c>
      <c r="I10" s="235">
        <v>8.6</v>
      </c>
      <c r="J10" s="235">
        <v>7.517</v>
      </c>
      <c r="K10" s="235">
        <v>7.405</v>
      </c>
      <c r="L10" s="235">
        <v>6.152</v>
      </c>
      <c r="M10" s="235">
        <v>5.2</v>
      </c>
      <c r="N10" s="235">
        <v>5.538</v>
      </c>
      <c r="O10" s="235">
        <v>4.9</v>
      </c>
      <c r="P10" s="235">
        <v>4.627</v>
      </c>
      <c r="Q10" s="235">
        <v>5.274</v>
      </c>
      <c r="R10" s="235">
        <v>5.211</v>
      </c>
      <c r="S10" s="235">
        <v>5.163</v>
      </c>
      <c r="T10" s="235">
        <v>5.396</v>
      </c>
      <c r="U10" s="235">
        <v>5.241</v>
      </c>
      <c r="V10" s="235">
        <v>4.693</v>
      </c>
      <c r="W10" s="235">
        <v>3.145</v>
      </c>
      <c r="X10" s="235">
        <v>3.064</v>
      </c>
      <c r="Y10" s="235">
        <v>3.291</v>
      </c>
      <c r="Z10" s="303">
        <v>7.4086161879895585</v>
      </c>
      <c r="AA10" s="154" t="s">
        <v>102</v>
      </c>
    </row>
    <row r="11" spans="1:27" ht="12.75">
      <c r="A11" s="107" t="s">
        <v>62</v>
      </c>
      <c r="B11" s="291"/>
      <c r="C11" s="291"/>
      <c r="D11" s="292"/>
      <c r="E11" s="238"/>
      <c r="F11" s="238"/>
      <c r="G11" s="238">
        <v>25.2</v>
      </c>
      <c r="H11" s="306">
        <v>22.8</v>
      </c>
      <c r="I11" s="238">
        <v>22.623</v>
      </c>
      <c r="J11" s="306">
        <v>22.339</v>
      </c>
      <c r="K11" s="238">
        <v>21.01</v>
      </c>
      <c r="L11" s="238">
        <v>18.709</v>
      </c>
      <c r="M11" s="238">
        <v>16.713</v>
      </c>
      <c r="N11" s="238">
        <v>17.496</v>
      </c>
      <c r="O11" s="238">
        <v>16.9</v>
      </c>
      <c r="P11" s="238">
        <v>15.81</v>
      </c>
      <c r="Q11" s="238">
        <v>15.862</v>
      </c>
      <c r="R11" s="238">
        <v>15.092</v>
      </c>
      <c r="S11" s="238">
        <v>14.866</v>
      </c>
      <c r="T11" s="238">
        <v>15.779</v>
      </c>
      <c r="U11" s="238">
        <v>16.304</v>
      </c>
      <c r="V11" s="238">
        <v>15.437</v>
      </c>
      <c r="W11" s="238">
        <v>12.791</v>
      </c>
      <c r="X11" s="238">
        <v>13.77</v>
      </c>
      <c r="Y11" s="238">
        <v>14.316</v>
      </c>
      <c r="Z11" s="316">
        <v>3.9651416122004512</v>
      </c>
      <c r="AA11" s="107" t="s">
        <v>62</v>
      </c>
    </row>
    <row r="12" spans="1:27" ht="12.75">
      <c r="A12" s="154" t="s">
        <v>14</v>
      </c>
      <c r="B12" s="288">
        <v>1.701</v>
      </c>
      <c r="C12" s="288">
        <v>1.619</v>
      </c>
      <c r="D12" s="235">
        <v>1.73</v>
      </c>
      <c r="E12" s="235">
        <v>1.858</v>
      </c>
      <c r="F12" s="235">
        <v>1.87</v>
      </c>
      <c r="G12" s="235">
        <v>1.796</v>
      </c>
      <c r="H12" s="235">
        <v>2.008</v>
      </c>
      <c r="I12" s="235">
        <v>1.985</v>
      </c>
      <c r="J12" s="235">
        <v>1.757</v>
      </c>
      <c r="K12" s="235">
        <v>1.983</v>
      </c>
      <c r="L12" s="235">
        <v>2.058</v>
      </c>
      <c r="M12" s="235">
        <v>1.938</v>
      </c>
      <c r="N12" s="235">
        <v>2.025</v>
      </c>
      <c r="O12" s="235">
        <v>2.091</v>
      </c>
      <c r="P12" s="235">
        <v>1.877</v>
      </c>
      <c r="Q12" s="235">
        <v>1.985</v>
      </c>
      <c r="R12" s="235">
        <v>2.321</v>
      </c>
      <c r="S12" s="235">
        <v>1.976</v>
      </c>
      <c r="T12" s="235">
        <v>1.892</v>
      </c>
      <c r="U12" s="235">
        <v>1.779</v>
      </c>
      <c r="V12" s="235">
        <v>1.866</v>
      </c>
      <c r="W12" s="235">
        <v>1.7</v>
      </c>
      <c r="X12" s="235">
        <v>2.239</v>
      </c>
      <c r="Y12" s="235">
        <v>2.615</v>
      </c>
      <c r="Z12" s="303">
        <v>16.793211255024577</v>
      </c>
      <c r="AA12" s="154" t="s">
        <v>14</v>
      </c>
    </row>
    <row r="13" spans="1:27" ht="12.75">
      <c r="A13" s="107" t="s">
        <v>64</v>
      </c>
      <c r="B13" s="304">
        <v>113</v>
      </c>
      <c r="C13" s="304">
        <v>121.3</v>
      </c>
      <c r="D13" s="238">
        <v>101.7</v>
      </c>
      <c r="E13" s="238">
        <v>82.2</v>
      </c>
      <c r="F13" s="238">
        <v>72.8</v>
      </c>
      <c r="G13" s="238">
        <v>65.6</v>
      </c>
      <c r="H13" s="238">
        <v>70.7</v>
      </c>
      <c r="I13" s="238">
        <v>70.5</v>
      </c>
      <c r="J13" s="238">
        <v>70</v>
      </c>
      <c r="K13" s="238">
        <v>73.9</v>
      </c>
      <c r="L13" s="306">
        <v>74.2</v>
      </c>
      <c r="M13" s="238">
        <v>76.822</v>
      </c>
      <c r="N13" s="238">
        <v>82.675</v>
      </c>
      <c r="O13" s="238">
        <v>81.042</v>
      </c>
      <c r="P13" s="238">
        <v>81.059</v>
      </c>
      <c r="Q13" s="238">
        <v>85.128</v>
      </c>
      <c r="R13" s="238">
        <v>91.921</v>
      </c>
      <c r="S13" s="238">
        <v>95.42</v>
      </c>
      <c r="T13" s="238">
        <v>107.007</v>
      </c>
      <c r="U13" s="238">
        <v>114.615</v>
      </c>
      <c r="V13" s="238">
        <v>115.652</v>
      </c>
      <c r="W13" s="238">
        <v>95.834</v>
      </c>
      <c r="X13" s="238">
        <v>107.317</v>
      </c>
      <c r="Y13" s="238">
        <v>113.317</v>
      </c>
      <c r="Z13" s="316">
        <v>5.590912902895151</v>
      </c>
      <c r="AA13" s="107" t="s">
        <v>64</v>
      </c>
    </row>
    <row r="14" spans="1:27" ht="12.75">
      <c r="A14" s="154" t="s">
        <v>65</v>
      </c>
      <c r="B14" s="288">
        <v>5.7</v>
      </c>
      <c r="C14" s="288">
        <v>6.5</v>
      </c>
      <c r="D14" s="235">
        <v>6.98</v>
      </c>
      <c r="E14" s="235">
        <v>6.5</v>
      </c>
      <c r="F14" s="235">
        <v>3.4</v>
      </c>
      <c r="G14" s="235">
        <v>4.2</v>
      </c>
      <c r="H14" s="235">
        <v>3.6</v>
      </c>
      <c r="I14" s="235">
        <v>3.845</v>
      </c>
      <c r="J14" s="235">
        <v>4.198</v>
      </c>
      <c r="K14" s="235">
        <v>5.102</v>
      </c>
      <c r="L14" s="235">
        <v>6.079</v>
      </c>
      <c r="M14" s="235">
        <v>7.295</v>
      </c>
      <c r="N14" s="235">
        <v>8.102</v>
      </c>
      <c r="O14" s="235">
        <v>8.557</v>
      </c>
      <c r="P14" s="235">
        <v>9.697</v>
      </c>
      <c r="Q14" s="235">
        <v>9.67</v>
      </c>
      <c r="R14" s="235">
        <v>10.488</v>
      </c>
      <c r="S14" s="235">
        <v>10.639</v>
      </c>
      <c r="T14" s="235">
        <v>10.418</v>
      </c>
      <c r="U14" s="235">
        <v>8.43</v>
      </c>
      <c r="V14" s="235">
        <v>5.943</v>
      </c>
      <c r="W14" s="235">
        <v>5.947</v>
      </c>
      <c r="X14" s="235">
        <v>6.638</v>
      </c>
      <c r="Y14" s="235">
        <v>6.271</v>
      </c>
      <c r="Z14" s="303">
        <v>-5.5287737270262145</v>
      </c>
      <c r="AA14" s="154" t="s">
        <v>65</v>
      </c>
    </row>
    <row r="15" spans="1:27" ht="12.75">
      <c r="A15" s="107" t="s">
        <v>69</v>
      </c>
      <c r="B15" s="286">
        <v>0.545</v>
      </c>
      <c r="C15" s="286">
        <v>0.637</v>
      </c>
      <c r="D15" s="240">
        <v>0.589</v>
      </c>
      <c r="E15" s="240">
        <v>0.603</v>
      </c>
      <c r="F15" s="240">
        <v>0.633</v>
      </c>
      <c r="G15" s="240">
        <v>0.575</v>
      </c>
      <c r="H15" s="240">
        <v>0.569</v>
      </c>
      <c r="I15" s="240">
        <v>0.602</v>
      </c>
      <c r="J15" s="240">
        <v>0.57</v>
      </c>
      <c r="K15" s="240">
        <v>0.522</v>
      </c>
      <c r="L15" s="240">
        <v>0.466</v>
      </c>
      <c r="M15" s="240">
        <v>0.526</v>
      </c>
      <c r="N15" s="240">
        <v>0.491</v>
      </c>
      <c r="O15" s="240">
        <v>0.516</v>
      </c>
      <c r="P15" s="240">
        <v>0.426</v>
      </c>
      <c r="Q15" s="240">
        <v>0.398</v>
      </c>
      <c r="R15" s="240">
        <v>0.399</v>
      </c>
      <c r="S15" s="240">
        <v>0.303</v>
      </c>
      <c r="T15" s="240">
        <v>0.205</v>
      </c>
      <c r="U15" s="240">
        <v>0.129</v>
      </c>
      <c r="V15" s="240">
        <v>0.103</v>
      </c>
      <c r="W15" s="240">
        <v>0.079</v>
      </c>
      <c r="X15" s="240">
        <v>0.092</v>
      </c>
      <c r="Y15" s="240">
        <v>0.105</v>
      </c>
      <c r="Z15" s="302">
        <v>14.130434782608692</v>
      </c>
      <c r="AA15" s="107" t="s">
        <v>69</v>
      </c>
    </row>
    <row r="16" spans="1:27" ht="12.75">
      <c r="A16" s="154" t="s">
        <v>15</v>
      </c>
      <c r="B16" s="288">
        <v>0.688</v>
      </c>
      <c r="C16" s="288">
        <v>0.814</v>
      </c>
      <c r="D16" s="235">
        <v>0.609</v>
      </c>
      <c r="E16" s="235">
        <v>0.561</v>
      </c>
      <c r="F16" s="235">
        <v>0.527</v>
      </c>
      <c r="G16" s="235">
        <v>0.503</v>
      </c>
      <c r="H16" s="235">
        <v>0.31</v>
      </c>
      <c r="I16" s="235">
        <v>0.292</v>
      </c>
      <c r="J16" s="235">
        <v>0.337</v>
      </c>
      <c r="K16" s="235">
        <v>0.317</v>
      </c>
      <c r="L16" s="235">
        <v>0.326</v>
      </c>
      <c r="M16" s="235">
        <v>0.326</v>
      </c>
      <c r="N16" s="235">
        <v>0.427</v>
      </c>
      <c r="O16" s="235">
        <v>0.38</v>
      </c>
      <c r="P16" s="235">
        <v>0.327</v>
      </c>
      <c r="Q16" s="235">
        <v>0.456</v>
      </c>
      <c r="R16" s="235">
        <v>0.592</v>
      </c>
      <c r="S16" s="235">
        <v>0.613</v>
      </c>
      <c r="T16" s="235">
        <v>0.662</v>
      </c>
      <c r="U16" s="235">
        <v>0.835</v>
      </c>
      <c r="V16" s="235">
        <v>0.786</v>
      </c>
      <c r="W16" s="235">
        <v>0.552</v>
      </c>
      <c r="X16" s="235">
        <v>0.614</v>
      </c>
      <c r="Y16" s="235">
        <v>0.352</v>
      </c>
      <c r="Z16" s="303">
        <v>-42.67100977198698</v>
      </c>
      <c r="AA16" s="154" t="s">
        <v>15</v>
      </c>
    </row>
    <row r="17" spans="1:27" ht="12.75">
      <c r="A17" s="107" t="s">
        <v>67</v>
      </c>
      <c r="B17" s="286">
        <v>9.741</v>
      </c>
      <c r="C17" s="947">
        <v>11.281</v>
      </c>
      <c r="D17" s="240">
        <v>11.153</v>
      </c>
      <c r="E17" s="240">
        <v>10.462</v>
      </c>
      <c r="F17" s="240">
        <v>9.205</v>
      </c>
      <c r="G17" s="240">
        <v>7.836</v>
      </c>
      <c r="H17" s="240">
        <v>9.089</v>
      </c>
      <c r="I17" s="240">
        <v>10.955</v>
      </c>
      <c r="J17" s="240">
        <v>11.125</v>
      </c>
      <c r="K17" s="240">
        <v>12.511</v>
      </c>
      <c r="L17" s="240">
        <v>11.322</v>
      </c>
      <c r="M17" s="240">
        <v>11.487</v>
      </c>
      <c r="N17" s="240">
        <v>11.614</v>
      </c>
      <c r="O17" s="240">
        <v>11.717</v>
      </c>
      <c r="P17" s="240">
        <v>11.569</v>
      </c>
      <c r="Q17" s="240">
        <v>11.743</v>
      </c>
      <c r="R17" s="240">
        <v>12.436</v>
      </c>
      <c r="S17" s="240">
        <v>11.585</v>
      </c>
      <c r="T17" s="240">
        <v>11.541</v>
      </c>
      <c r="U17" s="240">
        <v>11.237</v>
      </c>
      <c r="V17" s="240">
        <v>10.971</v>
      </c>
      <c r="W17" s="240">
        <v>7.937</v>
      </c>
      <c r="X17" s="240">
        <v>9.211</v>
      </c>
      <c r="Y17" s="240">
        <v>9.748</v>
      </c>
      <c r="Z17" s="302">
        <v>5.8299858864401255</v>
      </c>
      <c r="AA17" s="107" t="s">
        <v>67</v>
      </c>
    </row>
    <row r="18" spans="1:27" ht="12.75">
      <c r="A18" s="154" t="s">
        <v>68</v>
      </c>
      <c r="B18" s="288">
        <v>67.586</v>
      </c>
      <c r="C18" s="288">
        <v>68.815</v>
      </c>
      <c r="D18" s="235">
        <v>52.24</v>
      </c>
      <c r="E18" s="235">
        <v>52.430011</v>
      </c>
      <c r="F18" s="235">
        <v>51.180591</v>
      </c>
      <c r="G18" s="235">
        <v>45.582509</v>
      </c>
      <c r="H18" s="235">
        <v>48.871258</v>
      </c>
      <c r="I18" s="235">
        <v>48.266068</v>
      </c>
      <c r="J18" s="235">
        <v>50.113</v>
      </c>
      <c r="K18" s="235">
        <v>54.246</v>
      </c>
      <c r="L18" s="235">
        <v>54.09952500000001</v>
      </c>
      <c r="M18" s="235">
        <v>54.53801500294</v>
      </c>
      <c r="N18" s="235">
        <v>57.72575464222399</v>
      </c>
      <c r="O18" s="235">
        <v>51.718302252257004</v>
      </c>
      <c r="P18" s="235">
        <v>51.288192553031</v>
      </c>
      <c r="Q18" s="235">
        <v>48.057268754624005</v>
      </c>
      <c r="R18" s="235">
        <v>46.348370260433</v>
      </c>
      <c r="S18" s="235">
        <v>40.701180450133</v>
      </c>
      <c r="T18" s="235">
        <v>41.17892025294501</v>
      </c>
      <c r="U18" s="235">
        <v>42.623</v>
      </c>
      <c r="V18" s="235">
        <v>40.548</v>
      </c>
      <c r="W18" s="235">
        <v>32.13</v>
      </c>
      <c r="X18" s="235">
        <v>29.965</v>
      </c>
      <c r="Y18" s="235">
        <v>34.202</v>
      </c>
      <c r="Z18" s="303">
        <v>14.139829801434999</v>
      </c>
      <c r="AA18" s="154" t="s">
        <v>68</v>
      </c>
    </row>
    <row r="19" spans="1:27" ht="12.75">
      <c r="A19" s="107" t="s">
        <v>70</v>
      </c>
      <c r="B19" s="304">
        <v>18.069</v>
      </c>
      <c r="C19" s="304">
        <v>18.384</v>
      </c>
      <c r="D19" s="238">
        <v>19.361</v>
      </c>
      <c r="E19" s="238">
        <v>19.963</v>
      </c>
      <c r="F19" s="238">
        <v>19.267</v>
      </c>
      <c r="G19" s="238">
        <v>18.12</v>
      </c>
      <c r="H19" s="238">
        <v>20.425</v>
      </c>
      <c r="I19" s="238">
        <v>21.69</v>
      </c>
      <c r="J19" s="238">
        <v>21.034</v>
      </c>
      <c r="K19" s="238">
        <v>22.903</v>
      </c>
      <c r="L19" s="238">
        <v>22.454</v>
      </c>
      <c r="M19" s="238">
        <v>21.549</v>
      </c>
      <c r="N19" s="238">
        <v>22.817</v>
      </c>
      <c r="O19" s="238">
        <v>21.762</v>
      </c>
      <c r="P19" s="238">
        <v>20.679</v>
      </c>
      <c r="Q19" s="238">
        <v>20.299</v>
      </c>
      <c r="R19" s="238">
        <v>22.183</v>
      </c>
      <c r="S19" s="238">
        <v>22.761</v>
      </c>
      <c r="T19" s="238">
        <v>24.151</v>
      </c>
      <c r="U19" s="238">
        <v>25.285</v>
      </c>
      <c r="V19" s="238">
        <v>23.831</v>
      </c>
      <c r="W19" s="238">
        <v>17.791</v>
      </c>
      <c r="X19" s="238">
        <v>18.616</v>
      </c>
      <c r="Y19" s="238">
        <v>19.787</v>
      </c>
      <c r="Z19" s="316">
        <v>6.2902879243661225</v>
      </c>
      <c r="AA19" s="107" t="s">
        <v>70</v>
      </c>
    </row>
    <row r="20" spans="1:27" ht="12.75">
      <c r="A20" s="154" t="s">
        <v>72</v>
      </c>
      <c r="B20" s="288" t="s">
        <v>158</v>
      </c>
      <c r="C20" s="288" t="s">
        <v>158</v>
      </c>
      <c r="D20" s="235" t="s">
        <v>158</v>
      </c>
      <c r="E20" s="235" t="s">
        <v>158</v>
      </c>
      <c r="F20" s="235" t="s">
        <v>158</v>
      </c>
      <c r="G20" s="235" t="s">
        <v>158</v>
      </c>
      <c r="H20" s="235" t="s">
        <v>158</v>
      </c>
      <c r="I20" s="235" t="s">
        <v>158</v>
      </c>
      <c r="J20" s="235" t="s">
        <v>158</v>
      </c>
      <c r="K20" s="235" t="s">
        <v>158</v>
      </c>
      <c r="L20" s="235" t="s">
        <v>158</v>
      </c>
      <c r="M20" s="235" t="s">
        <v>158</v>
      </c>
      <c r="N20" s="235" t="s">
        <v>158</v>
      </c>
      <c r="O20" s="235" t="s">
        <v>158</v>
      </c>
      <c r="P20" s="235" t="s">
        <v>158</v>
      </c>
      <c r="Q20" s="235" t="s">
        <v>158</v>
      </c>
      <c r="R20" s="235" t="s">
        <v>158</v>
      </c>
      <c r="S20" s="235" t="s">
        <v>158</v>
      </c>
      <c r="T20" s="235" t="s">
        <v>158</v>
      </c>
      <c r="U20" s="235" t="s">
        <v>158</v>
      </c>
      <c r="V20" s="235" t="s">
        <v>158</v>
      </c>
      <c r="W20" s="235" t="s">
        <v>158</v>
      </c>
      <c r="X20" s="235" t="s">
        <v>158</v>
      </c>
      <c r="Y20" s="235" t="s">
        <v>158</v>
      </c>
      <c r="Z20" s="303" t="s">
        <v>158</v>
      </c>
      <c r="AA20" s="154" t="s">
        <v>72</v>
      </c>
    </row>
    <row r="21" spans="1:27" ht="12.75">
      <c r="A21" s="107" t="s">
        <v>73</v>
      </c>
      <c r="B21" s="304">
        <v>15.52</v>
      </c>
      <c r="C21" s="304">
        <v>17.59</v>
      </c>
      <c r="D21" s="238">
        <v>18.54</v>
      </c>
      <c r="E21" s="238">
        <v>16.7</v>
      </c>
      <c r="F21" s="238">
        <v>10.12</v>
      </c>
      <c r="G21" s="238">
        <v>9.85</v>
      </c>
      <c r="H21" s="238">
        <v>9.52</v>
      </c>
      <c r="I21" s="238">
        <v>9.76</v>
      </c>
      <c r="J21" s="238">
        <v>12.413</v>
      </c>
      <c r="K21" s="238">
        <v>13.97</v>
      </c>
      <c r="L21" s="238">
        <v>12.996</v>
      </c>
      <c r="M21" s="238">
        <v>12.21</v>
      </c>
      <c r="N21" s="238">
        <v>13.31</v>
      </c>
      <c r="O21" s="238">
        <v>14.18</v>
      </c>
      <c r="P21" s="238">
        <v>15.02</v>
      </c>
      <c r="Q21" s="238">
        <v>17.955</v>
      </c>
      <c r="R21" s="238">
        <v>18.618</v>
      </c>
      <c r="S21" s="238">
        <v>19.779</v>
      </c>
      <c r="T21" s="238">
        <v>16.831</v>
      </c>
      <c r="U21" s="238">
        <v>18.313</v>
      </c>
      <c r="V21" s="238">
        <v>19.581</v>
      </c>
      <c r="W21" s="238">
        <v>18.725</v>
      </c>
      <c r="X21" s="238">
        <v>17.179</v>
      </c>
      <c r="Y21" s="238">
        <v>21.41</v>
      </c>
      <c r="Z21" s="316">
        <v>24.628907386925913</v>
      </c>
      <c r="AA21" s="107" t="s">
        <v>73</v>
      </c>
    </row>
    <row r="22" spans="1:27" ht="12.75">
      <c r="A22" s="154" t="s">
        <v>74</v>
      </c>
      <c r="B22" s="288">
        <v>13.57</v>
      </c>
      <c r="C22" s="288">
        <v>18.24</v>
      </c>
      <c r="D22" s="235">
        <v>19.26</v>
      </c>
      <c r="E22" s="235">
        <v>17.7</v>
      </c>
      <c r="F22" s="235">
        <v>11.34</v>
      </c>
      <c r="G22" s="235">
        <v>9.9</v>
      </c>
      <c r="H22" s="311">
        <v>8</v>
      </c>
      <c r="I22" s="235">
        <v>7.2</v>
      </c>
      <c r="J22" s="235">
        <v>8.103</v>
      </c>
      <c r="K22" s="235">
        <v>8.622</v>
      </c>
      <c r="L22" s="235">
        <v>8.265</v>
      </c>
      <c r="M22" s="235">
        <v>7.849</v>
      </c>
      <c r="N22" s="235">
        <v>8.918</v>
      </c>
      <c r="O22" s="235">
        <v>7.741</v>
      </c>
      <c r="P22" s="235">
        <v>9.767</v>
      </c>
      <c r="Q22" s="235">
        <v>11.457</v>
      </c>
      <c r="R22" s="235">
        <v>11.637</v>
      </c>
      <c r="S22" s="235">
        <v>12.457</v>
      </c>
      <c r="T22" s="235">
        <v>12.896</v>
      </c>
      <c r="U22" s="235">
        <v>14.373</v>
      </c>
      <c r="V22" s="235">
        <v>14.748</v>
      </c>
      <c r="W22" s="235">
        <v>11.888</v>
      </c>
      <c r="X22" s="235">
        <v>13.431</v>
      </c>
      <c r="Y22" s="235">
        <v>15.088</v>
      </c>
      <c r="Z22" s="303">
        <v>12.33713051894869</v>
      </c>
      <c r="AA22" s="154" t="s">
        <v>74</v>
      </c>
    </row>
    <row r="23" spans="1:27" ht="12.75">
      <c r="A23" s="107" t="s">
        <v>77</v>
      </c>
      <c r="B23" s="304">
        <v>0.763</v>
      </c>
      <c r="C23" s="304">
        <v>0.665</v>
      </c>
      <c r="D23" s="238">
        <v>0.615</v>
      </c>
      <c r="E23" s="238">
        <v>0.622</v>
      </c>
      <c r="F23" s="238">
        <v>0.597</v>
      </c>
      <c r="G23" s="238">
        <v>0.607</v>
      </c>
      <c r="H23" s="238">
        <v>0.645</v>
      </c>
      <c r="I23" s="238">
        <v>0.529</v>
      </c>
      <c r="J23" s="238">
        <v>0.53</v>
      </c>
      <c r="K23" s="238">
        <v>0.566</v>
      </c>
      <c r="L23" s="238">
        <v>0.574</v>
      </c>
      <c r="M23" s="238">
        <v>0.608</v>
      </c>
      <c r="N23" s="238">
        <v>0.632</v>
      </c>
      <c r="O23" s="238">
        <v>0.585</v>
      </c>
      <c r="P23" s="238">
        <v>0.55</v>
      </c>
      <c r="Q23" s="238">
        <v>0.525</v>
      </c>
      <c r="R23" s="238">
        <v>0.559</v>
      </c>
      <c r="S23" s="238">
        <v>0.392</v>
      </c>
      <c r="T23" s="238">
        <v>0.441</v>
      </c>
      <c r="U23" s="238">
        <v>0.574</v>
      </c>
      <c r="V23" s="238">
        <v>0.279</v>
      </c>
      <c r="W23" s="238">
        <v>0.2</v>
      </c>
      <c r="X23" s="238">
        <v>0.323</v>
      </c>
      <c r="Y23" s="238">
        <v>0.288</v>
      </c>
      <c r="Z23" s="316">
        <v>-10.835913312693513</v>
      </c>
      <c r="AA23" s="107" t="s">
        <v>77</v>
      </c>
    </row>
    <row r="24" spans="1:27" ht="12.75">
      <c r="A24" s="154" t="s">
        <v>78</v>
      </c>
      <c r="B24" s="288">
        <v>19.82</v>
      </c>
      <c r="C24" s="288">
        <v>24.4</v>
      </c>
      <c r="D24" s="235">
        <v>16.8</v>
      </c>
      <c r="E24" s="235">
        <v>11.9</v>
      </c>
      <c r="F24" s="235">
        <v>10</v>
      </c>
      <c r="G24" s="235">
        <v>7.7</v>
      </c>
      <c r="H24" s="235">
        <v>7.7</v>
      </c>
      <c r="I24" s="235">
        <v>8.4</v>
      </c>
      <c r="J24" s="235">
        <v>7.6</v>
      </c>
      <c r="K24" s="235">
        <v>8.147</v>
      </c>
      <c r="L24" s="235">
        <v>8.15</v>
      </c>
      <c r="M24" s="235">
        <v>8.5</v>
      </c>
      <c r="N24" s="235">
        <v>8.8</v>
      </c>
      <c r="O24" s="235">
        <v>7.7</v>
      </c>
      <c r="P24" s="235">
        <v>7.8</v>
      </c>
      <c r="Q24" s="235">
        <v>7.614</v>
      </c>
      <c r="R24" s="235">
        <v>8.749</v>
      </c>
      <c r="S24" s="235">
        <v>9.09</v>
      </c>
      <c r="T24" s="235">
        <v>10.167</v>
      </c>
      <c r="U24" s="235">
        <v>10.048</v>
      </c>
      <c r="V24" s="235">
        <v>9.874</v>
      </c>
      <c r="W24" s="235">
        <v>7.673</v>
      </c>
      <c r="X24" s="235">
        <v>8.809</v>
      </c>
      <c r="Y24" s="235">
        <v>9.118</v>
      </c>
      <c r="Z24" s="303">
        <v>3.5077761380406525</v>
      </c>
      <c r="AA24" s="154" t="s">
        <v>78</v>
      </c>
    </row>
    <row r="25" spans="1:27" ht="12.75">
      <c r="A25" s="107" t="s">
        <v>79</v>
      </c>
      <c r="B25" s="304" t="s">
        <v>158</v>
      </c>
      <c r="C25" s="304" t="s">
        <v>158</v>
      </c>
      <c r="D25" s="238" t="s">
        <v>158</v>
      </c>
      <c r="E25" s="238" t="s">
        <v>158</v>
      </c>
      <c r="F25" s="238" t="s">
        <v>158</v>
      </c>
      <c r="G25" s="238" t="s">
        <v>158</v>
      </c>
      <c r="H25" s="238" t="s">
        <v>158</v>
      </c>
      <c r="I25" s="238" t="s">
        <v>158</v>
      </c>
      <c r="J25" s="238" t="s">
        <v>158</v>
      </c>
      <c r="K25" s="238" t="s">
        <v>158</v>
      </c>
      <c r="L25" s="238" t="s">
        <v>158</v>
      </c>
      <c r="M25" s="238" t="s">
        <v>158</v>
      </c>
      <c r="N25" s="238" t="s">
        <v>158</v>
      </c>
      <c r="O25" s="238" t="s">
        <v>158</v>
      </c>
      <c r="P25" s="238" t="s">
        <v>158</v>
      </c>
      <c r="Q25" s="238" t="s">
        <v>158</v>
      </c>
      <c r="R25" s="238" t="s">
        <v>158</v>
      </c>
      <c r="S25" s="238" t="s">
        <v>158</v>
      </c>
      <c r="T25" s="238" t="s">
        <v>158</v>
      </c>
      <c r="U25" s="238" t="s">
        <v>158</v>
      </c>
      <c r="V25" s="238" t="s">
        <v>158</v>
      </c>
      <c r="W25" s="238" t="s">
        <v>158</v>
      </c>
      <c r="X25" s="238" t="s">
        <v>158</v>
      </c>
      <c r="Y25" s="238" t="s">
        <v>158</v>
      </c>
      <c r="Z25" s="299" t="s">
        <v>158</v>
      </c>
      <c r="AA25" s="107" t="s">
        <v>79</v>
      </c>
    </row>
    <row r="26" spans="1:27" ht="12.75">
      <c r="A26" s="154" t="s">
        <v>16</v>
      </c>
      <c r="B26" s="288">
        <v>3.715</v>
      </c>
      <c r="C26" s="288">
        <v>3.468</v>
      </c>
      <c r="D26" s="235">
        <v>3.07</v>
      </c>
      <c r="E26" s="235">
        <v>3.038</v>
      </c>
      <c r="F26" s="235">
        <v>2.76</v>
      </c>
      <c r="G26" s="235">
        <v>2.68</v>
      </c>
      <c r="H26" s="235">
        <v>2.83</v>
      </c>
      <c r="I26" s="235">
        <v>3.1</v>
      </c>
      <c r="J26" s="235">
        <v>3.123</v>
      </c>
      <c r="K26" s="235">
        <v>3.406</v>
      </c>
      <c r="L26" s="235">
        <v>3.778</v>
      </c>
      <c r="M26" s="235">
        <v>3.988</v>
      </c>
      <c r="N26" s="235">
        <v>4.522</v>
      </c>
      <c r="O26" s="235">
        <v>4.293</v>
      </c>
      <c r="P26" s="235">
        <v>4.024</v>
      </c>
      <c r="Q26" s="235">
        <v>4.705</v>
      </c>
      <c r="R26" s="235">
        <v>5.831</v>
      </c>
      <c r="S26" s="235">
        <v>5.865</v>
      </c>
      <c r="T26" s="235">
        <v>6.289</v>
      </c>
      <c r="U26" s="235">
        <v>7.216</v>
      </c>
      <c r="V26" s="235">
        <v>6.984</v>
      </c>
      <c r="W26" s="235">
        <v>5.578</v>
      </c>
      <c r="X26" s="235">
        <v>5.925</v>
      </c>
      <c r="Y26" s="235">
        <v>6.378</v>
      </c>
      <c r="Z26" s="303">
        <v>7.645569620253179</v>
      </c>
      <c r="AA26" s="154" t="s">
        <v>16</v>
      </c>
    </row>
    <row r="27" spans="1:27" ht="12.75">
      <c r="A27" s="107" t="s">
        <v>82</v>
      </c>
      <c r="B27" s="304">
        <v>9.868</v>
      </c>
      <c r="C27" s="304">
        <v>11.002</v>
      </c>
      <c r="D27" s="238">
        <v>12.158</v>
      </c>
      <c r="E27" s="238">
        <v>12.322</v>
      </c>
      <c r="F27" s="238">
        <v>11.57</v>
      </c>
      <c r="G27" s="238">
        <v>11.24</v>
      </c>
      <c r="H27" s="238">
        <v>12.42</v>
      </c>
      <c r="I27" s="238">
        <v>13.2</v>
      </c>
      <c r="J27" s="238">
        <v>13.33</v>
      </c>
      <c r="K27" s="238">
        <v>14.199</v>
      </c>
      <c r="L27" s="238">
        <v>14.71</v>
      </c>
      <c r="M27" s="238">
        <v>15.04</v>
      </c>
      <c r="N27" s="238">
        <v>16.6</v>
      </c>
      <c r="O27" s="238">
        <v>16.893</v>
      </c>
      <c r="P27" s="238">
        <v>17.13</v>
      </c>
      <c r="Q27" s="238">
        <v>16.866</v>
      </c>
      <c r="R27" s="238">
        <v>18.757</v>
      </c>
      <c r="S27" s="238">
        <v>18.957</v>
      </c>
      <c r="T27" s="238">
        <v>20.98</v>
      </c>
      <c r="U27" s="238">
        <v>21.371</v>
      </c>
      <c r="V27" s="238">
        <v>21.915</v>
      </c>
      <c r="W27" s="238">
        <v>17.767</v>
      </c>
      <c r="X27" s="238">
        <v>19.833</v>
      </c>
      <c r="Y27" s="238">
        <v>20.345</v>
      </c>
      <c r="Z27" s="316">
        <v>2.5815559925376874</v>
      </c>
      <c r="AA27" s="107" t="s">
        <v>82</v>
      </c>
    </row>
    <row r="28" spans="1:27" ht="12.75">
      <c r="A28" s="154" t="s">
        <v>81</v>
      </c>
      <c r="B28" s="288">
        <v>98</v>
      </c>
      <c r="C28" s="288">
        <v>132.4</v>
      </c>
      <c r="D28" s="235">
        <v>81.6</v>
      </c>
      <c r="E28" s="235">
        <v>65.2</v>
      </c>
      <c r="F28" s="235">
        <v>57.8</v>
      </c>
      <c r="G28" s="235">
        <v>63.2</v>
      </c>
      <c r="H28" s="235">
        <v>64.7</v>
      </c>
      <c r="I28" s="235">
        <v>68.2</v>
      </c>
      <c r="J28" s="235">
        <v>67.4</v>
      </c>
      <c r="K28" s="235">
        <v>67.7</v>
      </c>
      <c r="L28" s="235">
        <v>60.9</v>
      </c>
      <c r="M28" s="235">
        <v>55.1</v>
      </c>
      <c r="N28" s="235">
        <v>54</v>
      </c>
      <c r="O28" s="235">
        <v>47.7</v>
      </c>
      <c r="P28" s="235">
        <v>46.6</v>
      </c>
      <c r="Q28" s="235">
        <v>47.407</v>
      </c>
      <c r="R28" s="235">
        <v>52.332</v>
      </c>
      <c r="S28" s="235">
        <v>49.972</v>
      </c>
      <c r="T28" s="235">
        <v>53.622</v>
      </c>
      <c r="U28" s="235">
        <v>54.253</v>
      </c>
      <c r="V28" s="235">
        <v>52.043</v>
      </c>
      <c r="W28" s="235">
        <v>43.445</v>
      </c>
      <c r="X28" s="235">
        <v>48.705</v>
      </c>
      <c r="Y28" s="235">
        <v>53.746</v>
      </c>
      <c r="Z28" s="303">
        <v>10.350066728261996</v>
      </c>
      <c r="AA28" s="154" t="s">
        <v>81</v>
      </c>
    </row>
    <row r="29" spans="1:27" ht="12.75">
      <c r="A29" s="107" t="s">
        <v>93</v>
      </c>
      <c r="B29" s="304">
        <v>0.776</v>
      </c>
      <c r="C29" s="304">
        <v>1.001</v>
      </c>
      <c r="D29" s="238">
        <v>1.459</v>
      </c>
      <c r="E29" s="238">
        <v>1.66</v>
      </c>
      <c r="F29" s="238">
        <v>1.767</v>
      </c>
      <c r="G29" s="238">
        <v>1.666</v>
      </c>
      <c r="H29" s="238">
        <v>1.635</v>
      </c>
      <c r="I29" s="238">
        <v>2.019</v>
      </c>
      <c r="J29" s="238">
        <v>1.857</v>
      </c>
      <c r="K29" s="238">
        <v>2.247</v>
      </c>
      <c r="L29" s="238">
        <v>2.048</v>
      </c>
      <c r="M29" s="238">
        <v>2.179</v>
      </c>
      <c r="N29" s="238">
        <v>2.183</v>
      </c>
      <c r="O29" s="238">
        <v>2.138</v>
      </c>
      <c r="P29" s="238">
        <v>2.193</v>
      </c>
      <c r="Q29" s="238">
        <v>2.073</v>
      </c>
      <c r="R29" s="238">
        <v>2.282</v>
      </c>
      <c r="S29" s="238">
        <v>2.422</v>
      </c>
      <c r="T29" s="238">
        <v>2.43</v>
      </c>
      <c r="U29" s="238">
        <v>2.586</v>
      </c>
      <c r="V29" s="238">
        <v>2.549</v>
      </c>
      <c r="W29" s="238">
        <v>2.174</v>
      </c>
      <c r="X29" s="238">
        <v>2.313</v>
      </c>
      <c r="Y29" s="238">
        <v>2.322</v>
      </c>
      <c r="Z29" s="316">
        <v>0.3891050583657574</v>
      </c>
      <c r="AA29" s="107" t="s">
        <v>93</v>
      </c>
    </row>
    <row r="30" spans="1:27" ht="12.75">
      <c r="A30" s="154" t="s">
        <v>103</v>
      </c>
      <c r="B30" s="288">
        <v>43.1</v>
      </c>
      <c r="C30" s="288">
        <v>64.8</v>
      </c>
      <c r="D30" s="235">
        <v>48.912</v>
      </c>
      <c r="E30" s="235">
        <v>32.561</v>
      </c>
      <c r="F30" s="235">
        <v>24.387</v>
      </c>
      <c r="G30" s="235">
        <v>22.046</v>
      </c>
      <c r="H30" s="235">
        <v>21.746</v>
      </c>
      <c r="I30" s="235">
        <v>17.907</v>
      </c>
      <c r="J30" s="235">
        <v>24.254</v>
      </c>
      <c r="K30" s="235">
        <v>22.111</v>
      </c>
      <c r="L30" s="235">
        <v>16.619</v>
      </c>
      <c r="M30" s="235">
        <v>14.679</v>
      </c>
      <c r="N30" s="235">
        <v>16.354</v>
      </c>
      <c r="O30" s="235">
        <v>16.102</v>
      </c>
      <c r="P30" s="235">
        <v>15.218</v>
      </c>
      <c r="Q30" s="235">
        <v>15.039</v>
      </c>
      <c r="R30" s="235">
        <v>17.022</v>
      </c>
      <c r="S30" s="235">
        <v>16.582</v>
      </c>
      <c r="T30" s="235">
        <v>15.791</v>
      </c>
      <c r="U30" s="235">
        <v>15.757</v>
      </c>
      <c r="V30" s="235">
        <v>15.236</v>
      </c>
      <c r="W30" s="235">
        <v>11.088</v>
      </c>
      <c r="X30" s="235">
        <v>12.375</v>
      </c>
      <c r="Y30" s="235">
        <v>14.719</v>
      </c>
      <c r="Z30" s="303">
        <v>18.941414141414125</v>
      </c>
      <c r="AA30" s="154" t="s">
        <v>103</v>
      </c>
    </row>
    <row r="31" spans="1:27" ht="12.75">
      <c r="A31" s="107" t="s">
        <v>84</v>
      </c>
      <c r="B31" s="286">
        <v>3.3</v>
      </c>
      <c r="C31" s="286">
        <v>3.8</v>
      </c>
      <c r="D31" s="240">
        <v>4.21</v>
      </c>
      <c r="E31" s="240">
        <v>3.2</v>
      </c>
      <c r="F31" s="240">
        <v>2.57</v>
      </c>
      <c r="G31" s="240">
        <v>2.26</v>
      </c>
      <c r="H31" s="240">
        <v>2.5</v>
      </c>
      <c r="I31" s="238">
        <v>3.076</v>
      </c>
      <c r="J31" s="238">
        <v>2.55</v>
      </c>
      <c r="K31" s="240">
        <v>2.9</v>
      </c>
      <c r="L31" s="240">
        <v>2.9</v>
      </c>
      <c r="M31" s="240">
        <v>2.784</v>
      </c>
      <c r="N31" s="240">
        <v>2.857</v>
      </c>
      <c r="O31" s="240">
        <v>2.837</v>
      </c>
      <c r="P31" s="240">
        <v>3.078</v>
      </c>
      <c r="Q31" s="240">
        <v>3.018</v>
      </c>
      <c r="R31" s="240">
        <v>3.149</v>
      </c>
      <c r="S31" s="240">
        <v>3.245</v>
      </c>
      <c r="T31" s="240">
        <v>3.373</v>
      </c>
      <c r="U31" s="240">
        <v>3.603</v>
      </c>
      <c r="V31" s="240">
        <v>3.52</v>
      </c>
      <c r="W31" s="240">
        <v>2.817</v>
      </c>
      <c r="X31" s="240">
        <v>3.421</v>
      </c>
      <c r="Y31" s="240">
        <v>3.752</v>
      </c>
      <c r="Z31" s="302">
        <v>9.675533469745679</v>
      </c>
      <c r="AA31" s="107" t="s">
        <v>84</v>
      </c>
    </row>
    <row r="32" spans="1:27" ht="12.75">
      <c r="A32" s="154" t="s">
        <v>86</v>
      </c>
      <c r="B32" s="318"/>
      <c r="C32" s="318"/>
      <c r="D32" s="319"/>
      <c r="E32" s="235"/>
      <c r="F32" s="235"/>
      <c r="G32" s="235">
        <v>14.2</v>
      </c>
      <c r="H32" s="235">
        <v>12.2</v>
      </c>
      <c r="I32" s="235">
        <v>13.8</v>
      </c>
      <c r="J32" s="235">
        <v>12</v>
      </c>
      <c r="K32" s="235">
        <v>12.368</v>
      </c>
      <c r="L32" s="235">
        <v>11.753</v>
      </c>
      <c r="M32" s="235">
        <v>9.859</v>
      </c>
      <c r="N32" s="235">
        <v>11.233</v>
      </c>
      <c r="O32" s="235">
        <v>10.93</v>
      </c>
      <c r="P32" s="235">
        <v>10.38</v>
      </c>
      <c r="Q32" s="235">
        <v>10.113</v>
      </c>
      <c r="R32" s="235">
        <v>9.702</v>
      </c>
      <c r="S32" s="235">
        <v>9.463</v>
      </c>
      <c r="T32" s="235">
        <v>9.988</v>
      </c>
      <c r="U32" s="235">
        <v>9.647</v>
      </c>
      <c r="V32" s="235">
        <v>9.299</v>
      </c>
      <c r="W32" s="235">
        <v>6.964</v>
      </c>
      <c r="X32" s="235">
        <v>8.105</v>
      </c>
      <c r="Y32" s="235">
        <v>7.96</v>
      </c>
      <c r="Z32" s="303">
        <v>-1.7890191239975373</v>
      </c>
      <c r="AA32" s="154" t="s">
        <v>86</v>
      </c>
    </row>
    <row r="33" spans="1:27" ht="12.75">
      <c r="A33" s="107" t="s">
        <v>88</v>
      </c>
      <c r="B33" s="286">
        <v>6.27</v>
      </c>
      <c r="C33" s="286">
        <v>8.335</v>
      </c>
      <c r="D33" s="240">
        <v>8.357</v>
      </c>
      <c r="E33" s="240">
        <v>7.63</v>
      </c>
      <c r="F33" s="240">
        <v>7.848</v>
      </c>
      <c r="G33" s="240">
        <v>9.26</v>
      </c>
      <c r="H33" s="240">
        <v>9.948</v>
      </c>
      <c r="I33" s="240">
        <v>9.6</v>
      </c>
      <c r="J33" s="240">
        <v>8.806</v>
      </c>
      <c r="K33" s="240">
        <v>9.856</v>
      </c>
      <c r="L33" s="240">
        <v>9.885</v>
      </c>
      <c r="M33" s="240">
        <v>9.753</v>
      </c>
      <c r="N33" s="240">
        <v>10.107</v>
      </c>
      <c r="O33" s="240">
        <v>9.857</v>
      </c>
      <c r="P33" s="240">
        <v>9.664</v>
      </c>
      <c r="Q33" s="240">
        <v>10.047</v>
      </c>
      <c r="R33" s="240">
        <v>10.105</v>
      </c>
      <c r="S33" s="240">
        <v>9.706</v>
      </c>
      <c r="T33" s="240">
        <v>11.06</v>
      </c>
      <c r="U33" s="240">
        <v>10.434</v>
      </c>
      <c r="V33" s="240">
        <v>10.777</v>
      </c>
      <c r="W33" s="240">
        <v>8.872</v>
      </c>
      <c r="X33" s="240">
        <v>9.75</v>
      </c>
      <c r="Y33" s="240">
        <v>9.395</v>
      </c>
      <c r="Z33" s="302">
        <v>-3.6410256410256414</v>
      </c>
      <c r="AA33" s="107" t="s">
        <v>88</v>
      </c>
    </row>
    <row r="34" spans="1:27" ht="12.75">
      <c r="A34" s="154" t="s">
        <v>89</v>
      </c>
      <c r="B34" s="288">
        <v>17.311</v>
      </c>
      <c r="C34" s="288">
        <v>16.648</v>
      </c>
      <c r="D34" s="235">
        <v>19.1</v>
      </c>
      <c r="E34" s="235">
        <v>18.816</v>
      </c>
      <c r="F34" s="235">
        <v>19.202</v>
      </c>
      <c r="G34" s="235">
        <v>18.578</v>
      </c>
      <c r="H34" s="235">
        <v>19.069</v>
      </c>
      <c r="I34" s="235">
        <v>19.391</v>
      </c>
      <c r="J34" s="235">
        <v>18.846</v>
      </c>
      <c r="K34" s="235">
        <v>19.181</v>
      </c>
      <c r="L34" s="235">
        <v>19.163</v>
      </c>
      <c r="M34" s="235">
        <v>19.09</v>
      </c>
      <c r="N34" s="235">
        <v>19.475</v>
      </c>
      <c r="O34" s="235">
        <v>18.954</v>
      </c>
      <c r="P34" s="235">
        <v>19.197</v>
      </c>
      <c r="Q34" s="235">
        <v>20.17</v>
      </c>
      <c r="R34" s="235">
        <v>20.856</v>
      </c>
      <c r="S34" s="235">
        <v>21.675</v>
      </c>
      <c r="T34" s="235">
        <v>22.271</v>
      </c>
      <c r="U34" s="235">
        <v>23.25</v>
      </c>
      <c r="V34" s="235">
        <v>22.924</v>
      </c>
      <c r="W34" s="235">
        <v>20.389</v>
      </c>
      <c r="X34" s="235">
        <v>23.464</v>
      </c>
      <c r="Y34" s="235">
        <v>22.864</v>
      </c>
      <c r="Z34" s="303">
        <v>-2.5571087623593503</v>
      </c>
      <c r="AA34" s="154" t="s">
        <v>89</v>
      </c>
    </row>
    <row r="35" spans="1:27" ht="12.75">
      <c r="A35" s="109" t="s">
        <v>13</v>
      </c>
      <c r="B35" s="331">
        <v>24.55</v>
      </c>
      <c r="C35" s="331">
        <v>17.816</v>
      </c>
      <c r="D35" s="247">
        <v>16</v>
      </c>
      <c r="E35" s="247">
        <v>15.3</v>
      </c>
      <c r="F35" s="247">
        <v>15.5</v>
      </c>
      <c r="G35" s="247">
        <v>13.8</v>
      </c>
      <c r="H35" s="247">
        <v>13</v>
      </c>
      <c r="I35" s="247">
        <v>13.3</v>
      </c>
      <c r="J35" s="247">
        <v>15.1</v>
      </c>
      <c r="K35" s="247">
        <v>16.9</v>
      </c>
      <c r="L35" s="247">
        <v>17.3</v>
      </c>
      <c r="M35" s="247">
        <v>18.2</v>
      </c>
      <c r="N35" s="247">
        <v>18.1</v>
      </c>
      <c r="O35" s="247">
        <v>19.4</v>
      </c>
      <c r="P35" s="247">
        <v>18.5</v>
      </c>
      <c r="Q35" s="247">
        <v>18.734</v>
      </c>
      <c r="R35" s="247">
        <v>22.552</v>
      </c>
      <c r="S35" s="247">
        <v>21.427</v>
      </c>
      <c r="T35" s="247">
        <v>21.919</v>
      </c>
      <c r="U35" s="247">
        <v>21.265</v>
      </c>
      <c r="V35" s="247">
        <v>21.077</v>
      </c>
      <c r="W35" s="240">
        <v>19.171</v>
      </c>
      <c r="X35" s="240">
        <v>18.576</v>
      </c>
      <c r="Y35" s="240">
        <v>20.974</v>
      </c>
      <c r="Z35" s="971">
        <v>12.909130060292838</v>
      </c>
      <c r="AA35" s="109" t="s">
        <v>13</v>
      </c>
    </row>
    <row r="36" spans="1:27" ht="12.75">
      <c r="A36" s="154" t="s">
        <v>164</v>
      </c>
      <c r="B36" s="288" t="s">
        <v>100</v>
      </c>
      <c r="C36" s="288" t="s">
        <v>100</v>
      </c>
      <c r="D36" s="235" t="s">
        <v>100</v>
      </c>
      <c r="E36" s="235"/>
      <c r="F36" s="235"/>
      <c r="G36" s="235"/>
      <c r="H36" s="235"/>
      <c r="I36" s="235">
        <v>1.974</v>
      </c>
      <c r="J36" s="235">
        <v>1.717</v>
      </c>
      <c r="K36" s="235">
        <v>1.715</v>
      </c>
      <c r="L36" s="235">
        <v>1.831</v>
      </c>
      <c r="M36" s="235">
        <v>1.685</v>
      </c>
      <c r="N36" s="235">
        <v>1.788</v>
      </c>
      <c r="O36" s="235">
        <v>2.074</v>
      </c>
      <c r="P36" s="235">
        <v>2.206</v>
      </c>
      <c r="Q36" s="235">
        <v>2.487</v>
      </c>
      <c r="R36" s="235">
        <v>2.493</v>
      </c>
      <c r="S36" s="235">
        <v>2.835</v>
      </c>
      <c r="T36" s="235">
        <v>3.305</v>
      </c>
      <c r="U36" s="235">
        <v>3.574</v>
      </c>
      <c r="V36" s="235">
        <v>3.312</v>
      </c>
      <c r="W36" s="249">
        <v>2.641</v>
      </c>
      <c r="X36" s="249">
        <v>2.618</v>
      </c>
      <c r="Y36" s="427">
        <v>2.438</v>
      </c>
      <c r="Z36" s="958">
        <v>-6.875477463712743</v>
      </c>
      <c r="AA36" s="154" t="s">
        <v>164</v>
      </c>
    </row>
    <row r="37" spans="1:27" ht="12.75">
      <c r="A37" s="107" t="s">
        <v>165</v>
      </c>
      <c r="B37" s="304"/>
      <c r="C37" s="304"/>
      <c r="D37" s="238"/>
      <c r="E37" s="238"/>
      <c r="F37" s="238"/>
      <c r="G37" s="238"/>
      <c r="H37" s="238"/>
      <c r="I37" s="238"/>
      <c r="J37" s="238"/>
      <c r="K37" s="238"/>
      <c r="L37" s="238"/>
      <c r="M37" s="238"/>
      <c r="N37" s="239">
        <v>0.5</v>
      </c>
      <c r="O37" s="238">
        <v>0.462</v>
      </c>
      <c r="P37" s="238">
        <v>0.334</v>
      </c>
      <c r="Q37" s="238">
        <v>0.373</v>
      </c>
      <c r="R37" s="238">
        <v>0.426</v>
      </c>
      <c r="S37" s="238">
        <v>0.531</v>
      </c>
      <c r="T37" s="238">
        <v>0.614</v>
      </c>
      <c r="U37" s="238">
        <v>0.778</v>
      </c>
      <c r="V37" s="238">
        <v>0.743</v>
      </c>
      <c r="W37" s="238">
        <v>0.497</v>
      </c>
      <c r="X37" s="238">
        <v>0.525</v>
      </c>
      <c r="Y37" s="424">
        <v>0.479</v>
      </c>
      <c r="Z37" s="302">
        <v>-8.76190476190477</v>
      </c>
      <c r="AA37" s="107" t="s">
        <v>165</v>
      </c>
    </row>
    <row r="38" spans="1:27" ht="12.75">
      <c r="A38" s="156" t="s">
        <v>166</v>
      </c>
      <c r="B38" s="325">
        <v>5.5</v>
      </c>
      <c r="C38" s="325">
        <v>5</v>
      </c>
      <c r="D38" s="326">
        <v>7.894</v>
      </c>
      <c r="E38" s="326">
        <v>7.977</v>
      </c>
      <c r="F38" s="326">
        <v>8.231</v>
      </c>
      <c r="G38" s="326">
        <v>8.396</v>
      </c>
      <c r="H38" s="326">
        <v>8.203</v>
      </c>
      <c r="I38" s="326">
        <v>8.506</v>
      </c>
      <c r="J38" s="326">
        <v>8.904</v>
      </c>
      <c r="K38" s="326">
        <v>9.606</v>
      </c>
      <c r="L38" s="326">
        <v>8.369</v>
      </c>
      <c r="M38" s="326">
        <v>8.23</v>
      </c>
      <c r="N38" s="326">
        <v>9.757</v>
      </c>
      <c r="O38" s="326">
        <v>7.483</v>
      </c>
      <c r="P38" s="326">
        <v>7.176</v>
      </c>
      <c r="Q38" s="326">
        <v>8.612</v>
      </c>
      <c r="R38" s="326">
        <v>9.332</v>
      </c>
      <c r="S38" s="326">
        <v>9.077</v>
      </c>
      <c r="T38" s="326">
        <v>9.544</v>
      </c>
      <c r="U38" s="326">
        <v>9.755</v>
      </c>
      <c r="V38" s="326">
        <v>10.552</v>
      </c>
      <c r="W38" s="326">
        <v>10.163</v>
      </c>
      <c r="X38" s="326">
        <v>11.3</v>
      </c>
      <c r="Y38" s="972">
        <v>11.303</v>
      </c>
      <c r="Z38" s="404">
        <v>0.026548672566373277</v>
      </c>
      <c r="AA38" s="156" t="s">
        <v>166</v>
      </c>
    </row>
    <row r="39" spans="1:27" ht="12.75">
      <c r="A39" s="107" t="s">
        <v>167</v>
      </c>
      <c r="B39" s="304" t="s">
        <v>158</v>
      </c>
      <c r="C39" s="304" t="s">
        <v>158</v>
      </c>
      <c r="D39" s="238" t="s">
        <v>158</v>
      </c>
      <c r="E39" s="238" t="s">
        <v>158</v>
      </c>
      <c r="F39" s="238" t="s">
        <v>158</v>
      </c>
      <c r="G39" s="238" t="s">
        <v>158</v>
      </c>
      <c r="H39" s="238" t="s">
        <v>158</v>
      </c>
      <c r="I39" s="238" t="s">
        <v>158</v>
      </c>
      <c r="J39" s="238" t="s">
        <v>158</v>
      </c>
      <c r="K39" s="238" t="s">
        <v>158</v>
      </c>
      <c r="L39" s="238" t="s">
        <v>158</v>
      </c>
      <c r="M39" s="238" t="s">
        <v>158</v>
      </c>
      <c r="N39" s="238" t="s">
        <v>158</v>
      </c>
      <c r="O39" s="238" t="s">
        <v>158</v>
      </c>
      <c r="P39" s="238" t="s">
        <v>158</v>
      </c>
      <c r="Q39" s="238" t="s">
        <v>158</v>
      </c>
      <c r="R39" s="238" t="s">
        <v>158</v>
      </c>
      <c r="S39" s="238" t="s">
        <v>158</v>
      </c>
      <c r="T39" s="238" t="s">
        <v>158</v>
      </c>
      <c r="U39" s="238" t="s">
        <v>158</v>
      </c>
      <c r="V39" s="238" t="s">
        <v>158</v>
      </c>
      <c r="W39" s="238" t="s">
        <v>158</v>
      </c>
      <c r="X39" s="238" t="s">
        <v>158</v>
      </c>
      <c r="Y39" s="424" t="s">
        <v>158</v>
      </c>
      <c r="Z39" s="302"/>
      <c r="AA39" s="107" t="s">
        <v>167</v>
      </c>
    </row>
    <row r="40" spans="1:27" ht="12.75">
      <c r="A40" s="154" t="s">
        <v>168</v>
      </c>
      <c r="B40" s="288">
        <v>2.6</v>
      </c>
      <c r="C40" s="288">
        <v>3</v>
      </c>
      <c r="D40" s="235">
        <v>2.6</v>
      </c>
      <c r="E40" s="235">
        <v>2.7</v>
      </c>
      <c r="F40" s="235">
        <v>2.7</v>
      </c>
      <c r="G40" s="235">
        <v>2.9</v>
      </c>
      <c r="H40" s="235">
        <v>2.7</v>
      </c>
      <c r="I40" s="235">
        <v>2.7</v>
      </c>
      <c r="J40" s="235">
        <v>2.8</v>
      </c>
      <c r="K40" s="235">
        <v>3</v>
      </c>
      <c r="L40" s="235">
        <v>2.9</v>
      </c>
      <c r="M40" s="235">
        <v>2.9</v>
      </c>
      <c r="N40" s="235">
        <v>3</v>
      </c>
      <c r="O40" s="235">
        <v>2.9</v>
      </c>
      <c r="P40" s="235">
        <v>2.7</v>
      </c>
      <c r="Q40" s="235">
        <v>2.627</v>
      </c>
      <c r="R40" s="235">
        <v>2.845</v>
      </c>
      <c r="S40" s="235">
        <v>3.149</v>
      </c>
      <c r="T40" s="235">
        <v>3.351</v>
      </c>
      <c r="U40" s="235">
        <v>3.502</v>
      </c>
      <c r="V40" s="235">
        <v>3.621</v>
      </c>
      <c r="W40" s="235">
        <v>3.666</v>
      </c>
      <c r="X40" s="235">
        <v>3.496</v>
      </c>
      <c r="Y40" s="428">
        <v>3.574</v>
      </c>
      <c r="Z40" s="303">
        <v>2.231121281464521</v>
      </c>
      <c r="AA40" s="154" t="s">
        <v>168</v>
      </c>
    </row>
    <row r="41" spans="1:27" ht="12.75">
      <c r="A41" s="109" t="s">
        <v>169</v>
      </c>
      <c r="B41" s="973">
        <v>6.9</v>
      </c>
      <c r="C41" s="973">
        <v>7.8</v>
      </c>
      <c r="D41" s="922">
        <v>9.045</v>
      </c>
      <c r="E41" s="922">
        <v>8.917</v>
      </c>
      <c r="F41" s="922">
        <v>8.458</v>
      </c>
      <c r="G41" s="922">
        <v>8.051</v>
      </c>
      <c r="H41" s="922">
        <v>8.819</v>
      </c>
      <c r="I41" s="922">
        <v>8.856</v>
      </c>
      <c r="J41" s="922">
        <v>8.031</v>
      </c>
      <c r="K41" s="922">
        <v>8.836</v>
      </c>
      <c r="L41" s="922">
        <v>9.411</v>
      </c>
      <c r="M41" s="922">
        <v>9.831</v>
      </c>
      <c r="N41" s="922">
        <v>11.08</v>
      </c>
      <c r="O41" s="922">
        <v>11.172</v>
      </c>
      <c r="P41" s="922">
        <v>10.746</v>
      </c>
      <c r="Q41" s="922">
        <v>10.598</v>
      </c>
      <c r="R41" s="922">
        <v>11.489</v>
      </c>
      <c r="S41" s="922">
        <v>11.677</v>
      </c>
      <c r="T41" s="922">
        <v>12.466</v>
      </c>
      <c r="U41" s="922">
        <v>11.952</v>
      </c>
      <c r="V41" s="922">
        <v>12.265</v>
      </c>
      <c r="W41" s="922">
        <v>10.565</v>
      </c>
      <c r="X41" s="922">
        <v>11.074</v>
      </c>
      <c r="Y41" s="923">
        <v>11.526</v>
      </c>
      <c r="Z41" s="408">
        <v>4.081632653061229</v>
      </c>
      <c r="AA41" s="109" t="s">
        <v>169</v>
      </c>
    </row>
    <row r="42" spans="1:27" ht="12.75">
      <c r="A42" s="1081" t="s">
        <v>317</v>
      </c>
      <c r="B42" s="1081"/>
      <c r="C42" s="1081"/>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c r="AA42" s="1081"/>
    </row>
    <row r="43" spans="1:26" ht="12.75">
      <c r="A43" s="254" t="s">
        <v>318</v>
      </c>
      <c r="C43" s="974"/>
      <c r="D43" s="974"/>
      <c r="E43" s="974"/>
      <c r="F43" s="974"/>
      <c r="G43" s="974"/>
      <c r="H43" s="974"/>
      <c r="I43" s="974"/>
      <c r="J43" s="974"/>
      <c r="K43" s="974"/>
      <c r="L43" s="974"/>
      <c r="M43" s="974"/>
      <c r="N43" s="974"/>
      <c r="O43" s="974"/>
      <c r="P43" s="974"/>
      <c r="Q43" s="974"/>
      <c r="R43" s="974"/>
      <c r="S43" s="376"/>
      <c r="T43" s="376"/>
      <c r="U43" s="376"/>
      <c r="V43" s="376"/>
      <c r="W43" s="376"/>
      <c r="X43" s="376"/>
      <c r="Y43" s="376"/>
      <c r="Z43" s="376"/>
    </row>
    <row r="44" spans="1:20" ht="12.75">
      <c r="A44"/>
      <c r="B44"/>
      <c r="C44"/>
      <c r="D44"/>
      <c r="E44"/>
      <c r="F44"/>
      <c r="G44"/>
      <c r="H44"/>
      <c r="I44"/>
      <c r="J44"/>
      <c r="K44"/>
      <c r="L44"/>
      <c r="M44"/>
      <c r="N44"/>
      <c r="O44"/>
      <c r="P44"/>
      <c r="Q44"/>
      <c r="R44"/>
      <c r="S44"/>
      <c r="T44"/>
    </row>
    <row r="45" spans="1:20" ht="12.75">
      <c r="A45"/>
      <c r="B45"/>
      <c r="C45"/>
      <c r="D45"/>
      <c r="E45"/>
      <c r="F45"/>
      <c r="G45"/>
      <c r="H45"/>
      <c r="I45"/>
      <c r="J45"/>
      <c r="K45"/>
      <c r="L45"/>
      <c r="M45"/>
      <c r="N45"/>
      <c r="O45"/>
      <c r="P45"/>
      <c r="Q45"/>
      <c r="R45"/>
      <c r="S45"/>
      <c r="T45"/>
    </row>
    <row r="46" spans="1:20" ht="12.75">
      <c r="A46"/>
      <c r="B46"/>
      <c r="C46"/>
      <c r="D46"/>
      <c r="E46"/>
      <c r="F46"/>
      <c r="G46"/>
      <c r="H46"/>
      <c r="I46"/>
      <c r="J46"/>
      <c r="K46"/>
      <c r="L46"/>
      <c r="M46"/>
      <c r="N46"/>
      <c r="O46"/>
      <c r="P46"/>
      <c r="Q46"/>
      <c r="R46"/>
      <c r="S46"/>
      <c r="T46"/>
    </row>
    <row r="47" spans="1:20" ht="12.75">
      <c r="A47"/>
      <c r="B47"/>
      <c r="C47"/>
      <c r="D47"/>
      <c r="E47"/>
      <c r="F47"/>
      <c r="G47"/>
      <c r="H47"/>
      <c r="I47"/>
      <c r="J47"/>
      <c r="K47"/>
      <c r="L47"/>
      <c r="M47"/>
      <c r="N47"/>
      <c r="O47"/>
      <c r="P47"/>
      <c r="Q47"/>
      <c r="R47"/>
      <c r="S47"/>
      <c r="T47"/>
    </row>
    <row r="48" spans="1:20" ht="12.75">
      <c r="A48"/>
      <c r="B48"/>
      <c r="C48"/>
      <c r="D48"/>
      <c r="E48"/>
      <c r="F48"/>
      <c r="G48"/>
      <c r="H48"/>
      <c r="I48"/>
      <c r="J48"/>
      <c r="K48"/>
      <c r="L48"/>
      <c r="M48"/>
      <c r="N48"/>
      <c r="O48"/>
      <c r="P48"/>
      <c r="Q48"/>
      <c r="R48"/>
      <c r="S48"/>
      <c r="T48"/>
    </row>
    <row r="49" spans="1:20" ht="12.75">
      <c r="A49"/>
      <c r="B49"/>
      <c r="C49"/>
      <c r="D49"/>
      <c r="E49"/>
      <c r="F49"/>
      <c r="G49"/>
      <c r="H49"/>
      <c r="I49"/>
      <c r="J49"/>
      <c r="K49"/>
      <c r="L49"/>
      <c r="M49"/>
      <c r="N49"/>
      <c r="O49"/>
      <c r="P49"/>
      <c r="Q49"/>
      <c r="R49"/>
      <c r="S49"/>
      <c r="T49"/>
    </row>
    <row r="50" spans="1:20" ht="12.75">
      <c r="A50"/>
      <c r="B50"/>
      <c r="C50"/>
      <c r="D50"/>
      <c r="E50"/>
      <c r="F50"/>
      <c r="G50"/>
      <c r="H50"/>
      <c r="I50"/>
      <c r="J50"/>
      <c r="K50"/>
      <c r="L50"/>
      <c r="M50"/>
      <c r="N50"/>
      <c r="O50"/>
      <c r="P50"/>
      <c r="Q50"/>
      <c r="R50"/>
      <c r="S50"/>
      <c r="T50"/>
    </row>
    <row r="61" spans="1:5" ht="12.75">
      <c r="A61" s="101" t="s">
        <v>319</v>
      </c>
      <c r="B61" s="101" t="s">
        <v>320</v>
      </c>
      <c r="C61" s="101" t="s">
        <v>321</v>
      </c>
      <c r="D61" s="101" t="s">
        <v>322</v>
      </c>
      <c r="E61" s="101" t="s">
        <v>323</v>
      </c>
    </row>
    <row r="62" spans="1:5" ht="12.75">
      <c r="A62" s="101">
        <v>607</v>
      </c>
      <c r="B62" s="101">
        <v>655</v>
      </c>
      <c r="C62" s="101">
        <v>688</v>
      </c>
      <c r="D62" s="101">
        <v>645</v>
      </c>
      <c r="E62" s="101">
        <v>627</v>
      </c>
    </row>
    <row r="63" spans="1:5" ht="12.75">
      <c r="A63" s="101">
        <v>105</v>
      </c>
      <c r="B63" s="101">
        <v>92</v>
      </c>
      <c r="C63" s="101">
        <v>83</v>
      </c>
      <c r="D63" s="101">
        <v>85</v>
      </c>
      <c r="E63" s="101">
        <v>92</v>
      </c>
    </row>
  </sheetData>
  <sheetProtection/>
  <mergeCells count="2">
    <mergeCell ref="A2:AA2"/>
    <mergeCell ref="A42:AA4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AB56"/>
  <sheetViews>
    <sheetView zoomScalePageLayoutView="0" workbookViewId="0" topLeftCell="J1">
      <selection activeCell="O35" sqref="O9:O35"/>
    </sheetView>
  </sheetViews>
  <sheetFormatPr defaultColWidth="9.140625" defaultRowHeight="12.75"/>
  <cols>
    <col min="1" max="28" width="9.140625" style="101" customWidth="1"/>
  </cols>
  <sheetData>
    <row r="1" spans="1:28" ht="15.75">
      <c r="A1"/>
      <c r="B1" s="263"/>
      <c r="C1" s="558"/>
      <c r="D1" s="558"/>
      <c r="E1" s="100"/>
      <c r="F1" s="100"/>
      <c r="G1" s="100"/>
      <c r="H1" s="100"/>
      <c r="I1" s="100"/>
      <c r="J1" s="100"/>
      <c r="K1" s="100"/>
      <c r="L1" s="100"/>
      <c r="M1" s="100"/>
      <c r="N1" s="100"/>
      <c r="O1" s="100"/>
      <c r="P1" s="100"/>
      <c r="R1"/>
      <c r="U1" s="102"/>
      <c r="V1" s="102"/>
      <c r="W1" s="102"/>
      <c r="X1" s="102"/>
      <c r="Y1" s="102"/>
      <c r="Z1" s="102"/>
      <c r="AB1" s="102" t="s">
        <v>324</v>
      </c>
    </row>
    <row r="2" spans="1:28" ht="15.75">
      <c r="A2" s="384"/>
      <c r="B2" s="1083" t="s">
        <v>325</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row>
    <row r="3" spans="1:28" ht="12.75">
      <c r="A3"/>
      <c r="B3" s="142"/>
      <c r="C3" s="142"/>
      <c r="E3" s="333"/>
      <c r="F3" s="333"/>
      <c r="G3" s="333"/>
      <c r="H3" s="333"/>
      <c r="I3" s="333"/>
      <c r="J3" s="560"/>
      <c r="K3" s="560"/>
      <c r="L3" s="560"/>
      <c r="M3" s="560"/>
      <c r="N3" s="560"/>
      <c r="O3" s="560"/>
      <c r="R3" s="975"/>
      <c r="T3" s="376"/>
      <c r="U3" s="376"/>
      <c r="W3" s="1084" t="s">
        <v>308</v>
      </c>
      <c r="X3" s="1084"/>
      <c r="Y3" s="269"/>
      <c r="Z3" s="269"/>
      <c r="AA3" s="270"/>
      <c r="AB3" s="967"/>
    </row>
    <row r="4" spans="1:28" ht="18.75">
      <c r="A4"/>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41" t="s">
        <v>159</v>
      </c>
      <c r="AB4" s="346"/>
    </row>
    <row r="5" spans="1:28" ht="12.75">
      <c r="A5"/>
      <c r="B5" s="103"/>
      <c r="C5" s="145"/>
      <c r="D5" s="347"/>
      <c r="E5" s="271"/>
      <c r="F5" s="271"/>
      <c r="G5" s="271"/>
      <c r="H5" s="271"/>
      <c r="I5" s="271"/>
      <c r="J5" s="271"/>
      <c r="K5" s="271"/>
      <c r="L5" s="271"/>
      <c r="M5" s="271"/>
      <c r="N5" s="271"/>
      <c r="O5" s="271"/>
      <c r="P5" s="271"/>
      <c r="Q5" s="271"/>
      <c r="R5" s="271"/>
      <c r="S5" s="271"/>
      <c r="T5" s="271"/>
      <c r="U5" s="271"/>
      <c r="V5" s="271"/>
      <c r="W5" s="271"/>
      <c r="X5" s="271"/>
      <c r="Y5" s="271"/>
      <c r="Z5" s="271"/>
      <c r="AA5" s="348" t="s">
        <v>160</v>
      </c>
      <c r="AB5" s="346"/>
    </row>
    <row r="6" spans="1:28" ht="12.75">
      <c r="A6"/>
      <c r="B6" s="148" t="s">
        <v>161</v>
      </c>
      <c r="C6" s="968">
        <v>112.476</v>
      </c>
      <c r="D6" s="968">
        <v>119.171</v>
      </c>
      <c r="E6" s="225">
        <v>118.33522714499999</v>
      </c>
      <c r="F6" s="225">
        <v>116.70840167300001</v>
      </c>
      <c r="G6" s="225">
        <v>115.05673840299998</v>
      </c>
      <c r="H6" s="225">
        <v>109.08724280999999</v>
      </c>
      <c r="I6" s="225">
        <v>118.78323084900002</v>
      </c>
      <c r="J6" s="225">
        <v>122.08520799999998</v>
      </c>
      <c r="K6" s="225">
        <v>119.75649199999998</v>
      </c>
      <c r="L6" s="225">
        <v>127.84812699999999</v>
      </c>
      <c r="M6" s="225">
        <v>131.011354551</v>
      </c>
      <c r="N6" s="225">
        <v>128.726899</v>
      </c>
      <c r="O6" s="225">
        <v>133.8613496</v>
      </c>
      <c r="P6" s="225">
        <v>132.5287596</v>
      </c>
      <c r="Q6" s="225">
        <v>132.504278</v>
      </c>
      <c r="R6" s="225">
        <v>123.5149852</v>
      </c>
      <c r="S6" s="225">
        <v>136.73445100000004</v>
      </c>
      <c r="T6" s="225">
        <v>138.66237439999995</v>
      </c>
      <c r="U6" s="225">
        <v>138.4605691</v>
      </c>
      <c r="V6" s="225">
        <v>144.92859039899997</v>
      </c>
      <c r="W6" s="225">
        <v>145.25861440000003</v>
      </c>
      <c r="X6" s="225">
        <v>129.827</v>
      </c>
      <c r="Y6" s="225">
        <v>148.28584527723365</v>
      </c>
      <c r="Z6" s="225">
        <v>141.127</v>
      </c>
      <c r="AA6" s="968">
        <v>-4.827733398187495</v>
      </c>
      <c r="AB6" s="148" t="s">
        <v>161</v>
      </c>
    </row>
    <row r="7" spans="1:28" ht="12.75">
      <c r="A7" s="120"/>
      <c r="B7" s="154" t="s">
        <v>162</v>
      </c>
      <c r="C7" s="969">
        <v>102.626</v>
      </c>
      <c r="D7" s="969">
        <v>105.891</v>
      </c>
      <c r="E7" s="228">
        <v>106.97722714499997</v>
      </c>
      <c r="F7" s="228">
        <v>107.16240167300002</v>
      </c>
      <c r="G7" s="228">
        <v>106.95373840299997</v>
      </c>
      <c r="H7" s="228">
        <v>104.70724281</v>
      </c>
      <c r="I7" s="228">
        <v>113.25353084899999</v>
      </c>
      <c r="J7" s="228">
        <v>114.596308</v>
      </c>
      <c r="K7" s="228">
        <v>111.37309199999999</v>
      </c>
      <c r="L7" s="228">
        <v>118.92042699999998</v>
      </c>
      <c r="M7" s="228">
        <v>121.944141</v>
      </c>
      <c r="N7" s="228">
        <v>121.99729899999998</v>
      </c>
      <c r="O7" s="228">
        <v>127.380566</v>
      </c>
      <c r="P7" s="228">
        <v>125.94002399999998</v>
      </c>
      <c r="Q7" s="228">
        <v>125.08906300000001</v>
      </c>
      <c r="R7" s="228">
        <v>116.41082</v>
      </c>
      <c r="S7" s="228">
        <v>126.01883</v>
      </c>
      <c r="T7" s="228">
        <v>126.22875</v>
      </c>
      <c r="U7" s="228">
        <v>126.622974</v>
      </c>
      <c r="V7" s="228">
        <v>132.222617399</v>
      </c>
      <c r="W7" s="228">
        <v>130.013</v>
      </c>
      <c r="X7" s="228">
        <v>109.658</v>
      </c>
      <c r="Y7" s="228">
        <v>124.16284527723363</v>
      </c>
      <c r="Z7" s="228">
        <v>122.43100000000003</v>
      </c>
      <c r="AA7" s="969">
        <v>-1.3948176472331153</v>
      </c>
      <c r="AB7" s="154" t="s">
        <v>162</v>
      </c>
    </row>
    <row r="8" spans="1:28" ht="12.75">
      <c r="A8" s="120"/>
      <c r="B8" s="156" t="s">
        <v>163</v>
      </c>
      <c r="C8" s="970">
        <v>9.849999999999994</v>
      </c>
      <c r="D8" s="970">
        <v>13.280000000000001</v>
      </c>
      <c r="E8" s="231">
        <v>11.358000000000018</v>
      </c>
      <c r="F8" s="231">
        <v>9.545999999999992</v>
      </c>
      <c r="G8" s="231">
        <v>8.103000000000009</v>
      </c>
      <c r="H8" s="231">
        <v>4.3799999999999955</v>
      </c>
      <c r="I8" s="231">
        <v>5.529700000000034</v>
      </c>
      <c r="J8" s="231">
        <v>7.488899999999987</v>
      </c>
      <c r="K8" s="231">
        <v>8.383399999999995</v>
      </c>
      <c r="L8" s="231">
        <v>8.927700000000016</v>
      </c>
      <c r="M8" s="231">
        <v>9.067213551000009</v>
      </c>
      <c r="N8" s="231">
        <v>6.729600000000019</v>
      </c>
      <c r="O8" s="231">
        <v>6.480783600000009</v>
      </c>
      <c r="P8" s="231">
        <v>6.588735600000021</v>
      </c>
      <c r="Q8" s="231">
        <v>7.415214999999989</v>
      </c>
      <c r="R8" s="231">
        <v>7.104165199999997</v>
      </c>
      <c r="S8" s="231">
        <v>10.715621000000041</v>
      </c>
      <c r="T8" s="231">
        <v>12.433624399999943</v>
      </c>
      <c r="U8" s="231">
        <v>11.837595099999987</v>
      </c>
      <c r="V8" s="231">
        <v>12.705972999999972</v>
      </c>
      <c r="W8" s="231">
        <v>15.245614400000022</v>
      </c>
      <c r="X8" s="231">
        <v>20.168999999999997</v>
      </c>
      <c r="Y8" s="231">
        <v>24.12300000000002</v>
      </c>
      <c r="Z8" s="231">
        <v>18.695999999999984</v>
      </c>
      <c r="AA8" s="970">
        <v>-22.49720184056723</v>
      </c>
      <c r="AB8" s="156" t="s">
        <v>163</v>
      </c>
    </row>
    <row r="9" spans="1:28" ht="12.75">
      <c r="A9" s="120"/>
      <c r="B9" s="107" t="s">
        <v>61</v>
      </c>
      <c r="C9" s="286">
        <v>6.734</v>
      </c>
      <c r="D9" s="286">
        <v>5.852</v>
      </c>
      <c r="E9" s="240">
        <v>5.388896222</v>
      </c>
      <c r="F9" s="240">
        <v>5.177006499</v>
      </c>
      <c r="G9" s="240">
        <v>5.0178631</v>
      </c>
      <c r="H9" s="240">
        <v>4.931673973</v>
      </c>
      <c r="I9" s="240">
        <v>5.490262438</v>
      </c>
      <c r="J9" s="240">
        <v>5.731</v>
      </c>
      <c r="K9" s="240">
        <v>5.715</v>
      </c>
      <c r="L9" s="240">
        <v>5.829</v>
      </c>
      <c r="M9" s="240">
        <v>6.015</v>
      </c>
      <c r="N9" s="240">
        <v>6.362</v>
      </c>
      <c r="O9" s="240">
        <v>7.215</v>
      </c>
      <c r="P9" s="240">
        <v>7.655</v>
      </c>
      <c r="Q9" s="240">
        <v>8.073</v>
      </c>
      <c r="R9" s="240">
        <v>8.23</v>
      </c>
      <c r="S9" s="240">
        <v>8.392</v>
      </c>
      <c r="T9" s="240">
        <v>8.566</v>
      </c>
      <c r="U9" s="240">
        <v>8.908</v>
      </c>
      <c r="V9" s="240">
        <v>9.006</v>
      </c>
      <c r="W9" s="240">
        <v>8.746</v>
      </c>
      <c r="X9" s="240">
        <v>7.087</v>
      </c>
      <c r="Y9" s="240">
        <v>9.07</v>
      </c>
      <c r="Z9" s="240">
        <v>9.251</v>
      </c>
      <c r="AA9" s="302">
        <v>1.9955898566703434</v>
      </c>
      <c r="AB9" s="107" t="s">
        <v>61</v>
      </c>
    </row>
    <row r="10" spans="1:28" ht="12.75">
      <c r="A10" s="120"/>
      <c r="B10" s="154" t="s">
        <v>102</v>
      </c>
      <c r="C10" s="288">
        <v>1.83</v>
      </c>
      <c r="D10" s="288">
        <v>2.61</v>
      </c>
      <c r="E10" s="235">
        <v>1.61</v>
      </c>
      <c r="F10" s="235">
        <v>1.024</v>
      </c>
      <c r="G10" s="235">
        <v>0.837</v>
      </c>
      <c r="H10" s="235">
        <v>0.46</v>
      </c>
      <c r="I10" s="235">
        <v>0.36</v>
      </c>
      <c r="J10" s="235">
        <v>0.526</v>
      </c>
      <c r="K10" s="235">
        <v>0.505</v>
      </c>
      <c r="L10" s="235">
        <v>0.6</v>
      </c>
      <c r="M10" s="235">
        <v>0.563</v>
      </c>
      <c r="N10" s="235">
        <v>0.187</v>
      </c>
      <c r="O10" s="235">
        <v>0.313</v>
      </c>
      <c r="P10" s="235">
        <v>0.418</v>
      </c>
      <c r="Q10" s="235">
        <v>0.561</v>
      </c>
      <c r="R10" s="235">
        <v>0.613</v>
      </c>
      <c r="S10" s="235">
        <v>0.697</v>
      </c>
      <c r="T10" s="235">
        <v>0.757</v>
      </c>
      <c r="U10" s="235">
        <v>0.785</v>
      </c>
      <c r="V10" s="311">
        <v>1.011</v>
      </c>
      <c r="W10" s="311">
        <v>2.89</v>
      </c>
      <c r="X10" s="235">
        <v>5.436</v>
      </c>
      <c r="Y10" s="235">
        <v>6.048</v>
      </c>
      <c r="Z10" s="235">
        <v>4.31</v>
      </c>
      <c r="AA10" s="303">
        <v>-28.736772486772487</v>
      </c>
      <c r="AB10" s="154" t="s">
        <v>102</v>
      </c>
    </row>
    <row r="11" spans="1:28" ht="12.75">
      <c r="A11" s="120"/>
      <c r="B11" s="107" t="s">
        <v>62</v>
      </c>
      <c r="C11" s="304"/>
      <c r="D11" s="304"/>
      <c r="E11" s="238"/>
      <c r="F11" s="238"/>
      <c r="G11" s="238"/>
      <c r="H11" s="239"/>
      <c r="I11" s="238">
        <v>0.2526</v>
      </c>
      <c r="J11" s="238">
        <v>0.2757</v>
      </c>
      <c r="K11" s="238">
        <v>0.2565</v>
      </c>
      <c r="L11" s="238">
        <v>0.0984</v>
      </c>
      <c r="M11" s="238">
        <v>0.100313551</v>
      </c>
      <c r="N11" s="238">
        <v>0.087</v>
      </c>
      <c r="O11" s="238">
        <v>0.089</v>
      </c>
      <c r="P11" s="238">
        <v>0.078</v>
      </c>
      <c r="Q11" s="238">
        <v>0.08</v>
      </c>
      <c r="R11" s="238">
        <v>0.058</v>
      </c>
      <c r="S11" s="238">
        <v>0.048</v>
      </c>
      <c r="T11" s="238">
        <v>0.063</v>
      </c>
      <c r="U11" s="238">
        <v>0.043</v>
      </c>
      <c r="V11" s="238">
        <v>0.036</v>
      </c>
      <c r="W11" s="238">
        <v>0.028</v>
      </c>
      <c r="X11" s="238">
        <v>0.033</v>
      </c>
      <c r="Y11" s="238">
        <v>0.043</v>
      </c>
      <c r="Z11" s="238">
        <v>0.042</v>
      </c>
      <c r="AA11" s="316">
        <v>-2.325581395348819</v>
      </c>
      <c r="AB11" s="107" t="s">
        <v>62</v>
      </c>
    </row>
    <row r="12" spans="1:28" ht="12.75">
      <c r="A12" s="120"/>
      <c r="B12" s="154" t="s">
        <v>14</v>
      </c>
      <c r="C12" s="288" t="s">
        <v>158</v>
      </c>
      <c r="D12" s="288" t="s">
        <v>158</v>
      </c>
      <c r="E12" s="235" t="s">
        <v>158</v>
      </c>
      <c r="F12" s="235" t="s">
        <v>158</v>
      </c>
      <c r="G12" s="235" t="s">
        <v>158</v>
      </c>
      <c r="H12" s="235" t="s">
        <v>158</v>
      </c>
      <c r="I12" s="235" t="s">
        <v>158</v>
      </c>
      <c r="J12" s="235" t="s">
        <v>158</v>
      </c>
      <c r="K12" s="235" t="s">
        <v>158</v>
      </c>
      <c r="L12" s="235" t="s">
        <v>158</v>
      </c>
      <c r="M12" s="235" t="s">
        <v>158</v>
      </c>
      <c r="N12" s="235" t="s">
        <v>158</v>
      </c>
      <c r="O12" s="235" t="s">
        <v>158</v>
      </c>
      <c r="P12" s="235" t="s">
        <v>158</v>
      </c>
      <c r="Q12" s="235" t="s">
        <v>158</v>
      </c>
      <c r="R12" s="235" t="s">
        <v>158</v>
      </c>
      <c r="S12" s="235" t="s">
        <v>158</v>
      </c>
      <c r="T12" s="235" t="s">
        <v>158</v>
      </c>
      <c r="U12" s="235" t="s">
        <v>158</v>
      </c>
      <c r="V12" s="235" t="s">
        <v>158</v>
      </c>
      <c r="W12" s="235" t="s">
        <v>158</v>
      </c>
      <c r="X12" s="235" t="s">
        <v>158</v>
      </c>
      <c r="Y12" s="235" t="s">
        <v>158</v>
      </c>
      <c r="Z12" s="235" t="s">
        <v>158</v>
      </c>
      <c r="AA12" s="303"/>
      <c r="AB12" s="154" t="s">
        <v>14</v>
      </c>
    </row>
    <row r="13" spans="1:28" ht="12.75">
      <c r="A13" s="120"/>
      <c r="B13" s="107" t="s">
        <v>64</v>
      </c>
      <c r="C13" s="304">
        <v>48.8</v>
      </c>
      <c r="D13" s="304">
        <v>51.4</v>
      </c>
      <c r="E13" s="238">
        <v>54.803</v>
      </c>
      <c r="F13" s="238">
        <v>55.973424605</v>
      </c>
      <c r="G13" s="238">
        <v>57.239443126</v>
      </c>
      <c r="H13" s="238">
        <v>57.559339868</v>
      </c>
      <c r="I13" s="238">
        <v>61.77196685</v>
      </c>
      <c r="J13" s="238">
        <v>63.982</v>
      </c>
      <c r="K13" s="238">
        <v>61.291</v>
      </c>
      <c r="L13" s="238">
        <v>62.153</v>
      </c>
      <c r="M13" s="238">
        <v>64.267</v>
      </c>
      <c r="N13" s="238">
        <v>62.692</v>
      </c>
      <c r="O13" s="238">
        <v>66.465</v>
      </c>
      <c r="P13" s="238">
        <v>64.818</v>
      </c>
      <c r="Q13" s="238">
        <v>64.166</v>
      </c>
      <c r="R13" s="238">
        <v>58.154</v>
      </c>
      <c r="S13" s="238">
        <v>63.667</v>
      </c>
      <c r="T13" s="238">
        <v>64.096</v>
      </c>
      <c r="U13" s="238">
        <v>63.975</v>
      </c>
      <c r="V13" s="238">
        <v>64.716</v>
      </c>
      <c r="W13" s="238">
        <v>64.056</v>
      </c>
      <c r="X13" s="238">
        <v>55.652</v>
      </c>
      <c r="Y13" s="238">
        <v>62.278</v>
      </c>
      <c r="Z13" s="238">
        <v>55.027</v>
      </c>
      <c r="AA13" s="316">
        <v>-11.642955778926744</v>
      </c>
      <c r="AB13" s="107" t="s">
        <v>64</v>
      </c>
    </row>
    <row r="14" spans="1:28" ht="12.75">
      <c r="A14" s="120"/>
      <c r="B14" s="154" t="s">
        <v>65</v>
      </c>
      <c r="C14" s="288">
        <v>0.01</v>
      </c>
      <c r="D14" s="288">
        <v>0.01</v>
      </c>
      <c r="E14" s="235">
        <v>0</v>
      </c>
      <c r="F14" s="235">
        <v>0.001</v>
      </c>
      <c r="G14" s="235">
        <v>0.001</v>
      </c>
      <c r="H14" s="235">
        <v>0</v>
      </c>
      <c r="I14" s="235">
        <v>0.001</v>
      </c>
      <c r="J14" s="235">
        <v>0</v>
      </c>
      <c r="K14" s="235">
        <v>0</v>
      </c>
      <c r="L14" s="235">
        <v>0</v>
      </c>
      <c r="M14" s="235">
        <v>0</v>
      </c>
      <c r="N14" s="235">
        <v>0.002</v>
      </c>
      <c r="O14" s="235" t="s">
        <v>158</v>
      </c>
      <c r="P14" s="235" t="s">
        <v>158</v>
      </c>
      <c r="Q14" s="235" t="s">
        <v>158</v>
      </c>
      <c r="R14" s="235" t="s">
        <v>158</v>
      </c>
      <c r="S14" s="235" t="s">
        <v>158</v>
      </c>
      <c r="T14" s="235" t="s">
        <v>158</v>
      </c>
      <c r="U14" s="235" t="s">
        <v>158</v>
      </c>
      <c r="V14" s="235" t="s">
        <v>158</v>
      </c>
      <c r="W14" s="235" t="s">
        <v>158</v>
      </c>
      <c r="X14" s="235" t="s">
        <v>158</v>
      </c>
      <c r="Y14" s="235" t="s">
        <v>158</v>
      </c>
      <c r="Z14" s="235" t="s">
        <v>158</v>
      </c>
      <c r="AA14" s="303"/>
      <c r="AB14" s="154" t="s">
        <v>65</v>
      </c>
    </row>
    <row r="15" spans="1:28" ht="12.75">
      <c r="A15" s="120"/>
      <c r="B15" s="107" t="s">
        <v>69</v>
      </c>
      <c r="C15" s="286" t="s">
        <v>158</v>
      </c>
      <c r="D15" s="286" t="s">
        <v>158</v>
      </c>
      <c r="E15" s="240" t="s">
        <v>158</v>
      </c>
      <c r="F15" s="240" t="s">
        <v>158</v>
      </c>
      <c r="G15" s="240" t="s">
        <v>158</v>
      </c>
      <c r="H15" s="240" t="s">
        <v>158</v>
      </c>
      <c r="I15" s="240" t="s">
        <v>158</v>
      </c>
      <c r="J15" s="240" t="s">
        <v>158</v>
      </c>
      <c r="K15" s="240" t="s">
        <v>158</v>
      </c>
      <c r="L15" s="240" t="s">
        <v>158</v>
      </c>
      <c r="M15" s="240" t="s">
        <v>158</v>
      </c>
      <c r="N15" s="240" t="s">
        <v>158</v>
      </c>
      <c r="O15" s="240" t="s">
        <v>158</v>
      </c>
      <c r="P15" s="240" t="s">
        <v>158</v>
      </c>
      <c r="Q15" s="240" t="s">
        <v>158</v>
      </c>
      <c r="R15" s="240" t="s">
        <v>158</v>
      </c>
      <c r="S15" s="240" t="s">
        <v>158</v>
      </c>
      <c r="T15" s="240" t="s">
        <v>158</v>
      </c>
      <c r="U15" s="240" t="s">
        <v>158</v>
      </c>
      <c r="V15" s="240" t="s">
        <v>158</v>
      </c>
      <c r="W15" s="240" t="s">
        <v>158</v>
      </c>
      <c r="X15" s="240" t="s">
        <v>158</v>
      </c>
      <c r="Y15" s="240" t="s">
        <v>158</v>
      </c>
      <c r="Z15" s="240" t="s">
        <v>158</v>
      </c>
      <c r="AA15" s="302"/>
      <c r="AB15" s="107" t="s">
        <v>69</v>
      </c>
    </row>
    <row r="16" spans="1:28" ht="12.75">
      <c r="A16" s="120"/>
      <c r="B16" s="154" t="s">
        <v>15</v>
      </c>
      <c r="C16" s="288" t="s">
        <v>158</v>
      </c>
      <c r="D16" s="288" t="s">
        <v>158</v>
      </c>
      <c r="E16" s="235" t="s">
        <v>158</v>
      </c>
      <c r="F16" s="235" t="s">
        <v>158</v>
      </c>
      <c r="G16" s="235" t="s">
        <v>158</v>
      </c>
      <c r="H16" s="235" t="s">
        <v>158</v>
      </c>
      <c r="I16" s="235" t="s">
        <v>158</v>
      </c>
      <c r="J16" s="235" t="s">
        <v>158</v>
      </c>
      <c r="K16" s="235" t="s">
        <v>158</v>
      </c>
      <c r="L16" s="235" t="s">
        <v>158</v>
      </c>
      <c r="M16" s="235" t="s">
        <v>158</v>
      </c>
      <c r="N16" s="235" t="s">
        <v>158</v>
      </c>
      <c r="O16" s="235" t="s">
        <v>158</v>
      </c>
      <c r="P16" s="235" t="s">
        <v>158</v>
      </c>
      <c r="Q16" s="235" t="s">
        <v>158</v>
      </c>
      <c r="R16" s="235" t="s">
        <v>158</v>
      </c>
      <c r="S16" s="235" t="s">
        <v>158</v>
      </c>
      <c r="T16" s="235" t="s">
        <v>158</v>
      </c>
      <c r="U16" s="235" t="s">
        <v>158</v>
      </c>
      <c r="V16" s="235" t="s">
        <v>158</v>
      </c>
      <c r="W16" s="235" t="s">
        <v>158</v>
      </c>
      <c r="X16" s="235" t="s">
        <v>158</v>
      </c>
      <c r="Y16" s="235" t="s">
        <v>158</v>
      </c>
      <c r="Z16" s="235" t="s">
        <v>158</v>
      </c>
      <c r="AA16" s="303"/>
      <c r="AB16" s="154" t="s">
        <v>15</v>
      </c>
    </row>
    <row r="17" spans="1:28" ht="12.75">
      <c r="A17" s="120"/>
      <c r="B17" s="107" t="s">
        <v>67</v>
      </c>
      <c r="C17" s="286" t="s">
        <v>158</v>
      </c>
      <c r="D17" s="286" t="s">
        <v>158</v>
      </c>
      <c r="E17" s="240" t="s">
        <v>158</v>
      </c>
      <c r="F17" s="240" t="s">
        <v>158</v>
      </c>
      <c r="G17" s="240" t="s">
        <v>158</v>
      </c>
      <c r="H17" s="240" t="s">
        <v>158</v>
      </c>
      <c r="I17" s="240" t="s">
        <v>158</v>
      </c>
      <c r="J17" s="240" t="s">
        <v>158</v>
      </c>
      <c r="K17" s="240" t="s">
        <v>158</v>
      </c>
      <c r="L17" s="240" t="s">
        <v>158</v>
      </c>
      <c r="M17" s="240" t="s">
        <v>158</v>
      </c>
      <c r="N17" s="240" t="s">
        <v>158</v>
      </c>
      <c r="O17" s="240" t="s">
        <v>158</v>
      </c>
      <c r="P17" s="240" t="s">
        <v>158</v>
      </c>
      <c r="Q17" s="240" t="s">
        <v>158</v>
      </c>
      <c r="R17" s="240" t="s">
        <v>158</v>
      </c>
      <c r="S17" s="240" t="s">
        <v>158</v>
      </c>
      <c r="T17" s="240" t="s">
        <v>158</v>
      </c>
      <c r="U17" s="240" t="s">
        <v>158</v>
      </c>
      <c r="V17" s="240" t="s">
        <v>158</v>
      </c>
      <c r="W17" s="240" t="s">
        <v>158</v>
      </c>
      <c r="X17" s="240" t="s">
        <v>158</v>
      </c>
      <c r="Y17" s="240" t="s">
        <v>158</v>
      </c>
      <c r="Z17" s="240" t="s">
        <v>158</v>
      </c>
      <c r="AA17" s="302"/>
      <c r="AB17" s="107" t="s">
        <v>67</v>
      </c>
    </row>
    <row r="18" spans="1:28" ht="12.75">
      <c r="A18" s="120"/>
      <c r="B18" s="154" t="s">
        <v>68</v>
      </c>
      <c r="C18" s="288">
        <v>12.229</v>
      </c>
      <c r="D18" s="313">
        <v>10.869</v>
      </c>
      <c r="E18" s="235">
        <v>7.581033087</v>
      </c>
      <c r="F18" s="235">
        <v>8.346546523</v>
      </c>
      <c r="G18" s="235">
        <v>8.631432177</v>
      </c>
      <c r="H18" s="235">
        <v>7.684228969</v>
      </c>
      <c r="I18" s="235">
        <v>7.235301561</v>
      </c>
      <c r="J18" s="235">
        <v>6.63</v>
      </c>
      <c r="K18" s="235">
        <v>6.027</v>
      </c>
      <c r="L18" s="235">
        <v>7.058</v>
      </c>
      <c r="M18" s="235">
        <v>7.936</v>
      </c>
      <c r="N18" s="235">
        <v>8.478</v>
      </c>
      <c r="O18" s="235">
        <v>9.11</v>
      </c>
      <c r="P18" s="235">
        <v>8.294</v>
      </c>
      <c r="Q18" s="235">
        <v>8.269</v>
      </c>
      <c r="R18" s="235">
        <v>8.024</v>
      </c>
      <c r="S18" s="235">
        <v>8.416</v>
      </c>
      <c r="T18" s="235">
        <v>8.905</v>
      </c>
      <c r="U18" s="235">
        <v>9.005</v>
      </c>
      <c r="V18" s="235">
        <v>9.208</v>
      </c>
      <c r="W18" s="235">
        <v>8.896</v>
      </c>
      <c r="X18" s="235">
        <v>8.711</v>
      </c>
      <c r="Y18" s="235">
        <v>9.474</v>
      </c>
      <c r="Z18" s="235">
        <v>9.035</v>
      </c>
      <c r="AA18" s="303">
        <v>-4.6337344310745205</v>
      </c>
      <c r="AB18" s="154" t="s">
        <v>68</v>
      </c>
    </row>
    <row r="19" spans="1:28" ht="12.75">
      <c r="A19" s="120"/>
      <c r="B19" s="107" t="s">
        <v>70</v>
      </c>
      <c r="C19" s="304">
        <v>0.35</v>
      </c>
      <c r="D19" s="304">
        <v>0.203</v>
      </c>
      <c r="E19" s="238">
        <v>0.118</v>
      </c>
      <c r="F19" s="238">
        <v>0.09</v>
      </c>
      <c r="G19" s="238">
        <v>0.07</v>
      </c>
      <c r="H19" s="238">
        <v>0.097</v>
      </c>
      <c r="I19" s="238">
        <v>0.108</v>
      </c>
      <c r="J19" s="238">
        <v>0.135308</v>
      </c>
      <c r="K19" s="238">
        <v>0.125092</v>
      </c>
      <c r="L19" s="238">
        <v>0.201427</v>
      </c>
      <c r="M19" s="238">
        <v>0.126141</v>
      </c>
      <c r="N19" s="238">
        <v>0.177299</v>
      </c>
      <c r="O19" s="238">
        <v>0.169566</v>
      </c>
      <c r="P19" s="238">
        <v>0.161024</v>
      </c>
      <c r="Q19" s="238">
        <v>0.090063</v>
      </c>
      <c r="R19" s="238">
        <v>0.09082</v>
      </c>
      <c r="S19" s="238">
        <v>0.10983</v>
      </c>
      <c r="T19" s="238">
        <v>0.08875</v>
      </c>
      <c r="U19" s="238">
        <v>0.075974</v>
      </c>
      <c r="V19" s="238">
        <v>0.093</v>
      </c>
      <c r="W19" s="238">
        <v>0.064</v>
      </c>
      <c r="X19" s="238">
        <v>0.054</v>
      </c>
      <c r="Y19" s="238">
        <v>0.108</v>
      </c>
      <c r="Z19" s="238">
        <v>0.144</v>
      </c>
      <c r="AA19" s="316">
        <v>33.33333333333333</v>
      </c>
      <c r="AB19" s="107" t="s">
        <v>70</v>
      </c>
    </row>
    <row r="20" spans="1:28" ht="12.75">
      <c r="A20" s="120"/>
      <c r="B20" s="154" t="s">
        <v>72</v>
      </c>
      <c r="C20" s="288" t="s">
        <v>158</v>
      </c>
      <c r="D20" s="288" t="s">
        <v>158</v>
      </c>
      <c r="E20" s="235" t="s">
        <v>158</v>
      </c>
      <c r="F20" s="235" t="s">
        <v>158</v>
      </c>
      <c r="G20" s="235" t="s">
        <v>158</v>
      </c>
      <c r="H20" s="235" t="s">
        <v>158</v>
      </c>
      <c r="I20" s="235" t="s">
        <v>158</v>
      </c>
      <c r="J20" s="235" t="s">
        <v>158</v>
      </c>
      <c r="K20" s="235" t="s">
        <v>158</v>
      </c>
      <c r="L20" s="235" t="s">
        <v>158</v>
      </c>
      <c r="M20" s="235" t="s">
        <v>158</v>
      </c>
      <c r="N20" s="235" t="s">
        <v>158</v>
      </c>
      <c r="O20" s="235" t="s">
        <v>158</v>
      </c>
      <c r="P20" s="235" t="s">
        <v>158</v>
      </c>
      <c r="Q20" s="235" t="s">
        <v>158</v>
      </c>
      <c r="R20" s="235" t="s">
        <v>158</v>
      </c>
      <c r="S20" s="235" t="s">
        <v>158</v>
      </c>
      <c r="T20" s="235" t="s">
        <v>158</v>
      </c>
      <c r="U20" s="235" t="s">
        <v>158</v>
      </c>
      <c r="V20" s="235" t="s">
        <v>158</v>
      </c>
      <c r="W20" s="235" t="s">
        <v>158</v>
      </c>
      <c r="X20" s="235" t="s">
        <v>158</v>
      </c>
      <c r="Y20" s="235" t="s">
        <v>158</v>
      </c>
      <c r="Z20" s="235" t="s">
        <v>158</v>
      </c>
      <c r="AA20" s="303"/>
      <c r="AB20" s="154" t="s">
        <v>72</v>
      </c>
    </row>
    <row r="21" spans="1:28" ht="12.75">
      <c r="A21" s="120"/>
      <c r="B21" s="107" t="s">
        <v>73</v>
      </c>
      <c r="C21" s="304">
        <v>0.05</v>
      </c>
      <c r="D21" s="304">
        <v>0.09</v>
      </c>
      <c r="E21" s="238" t="s">
        <v>158</v>
      </c>
      <c r="F21" s="238" t="s">
        <v>158</v>
      </c>
      <c r="G21" s="238" t="s">
        <v>158</v>
      </c>
      <c r="H21" s="238" t="s">
        <v>158</v>
      </c>
      <c r="I21" s="238" t="s">
        <v>158</v>
      </c>
      <c r="J21" s="238" t="s">
        <v>158</v>
      </c>
      <c r="K21" s="238" t="s">
        <v>158</v>
      </c>
      <c r="L21" s="238" t="s">
        <v>158</v>
      </c>
      <c r="M21" s="238" t="s">
        <v>158</v>
      </c>
      <c r="N21" s="238" t="s">
        <v>158</v>
      </c>
      <c r="O21" s="238" t="s">
        <v>158</v>
      </c>
      <c r="P21" s="238" t="s">
        <v>158</v>
      </c>
      <c r="Q21" s="238" t="s">
        <v>158</v>
      </c>
      <c r="R21" s="238" t="s">
        <v>158</v>
      </c>
      <c r="S21" s="238" t="s">
        <v>158</v>
      </c>
      <c r="T21" s="238" t="s">
        <v>158</v>
      </c>
      <c r="U21" s="238" t="s">
        <v>158</v>
      </c>
      <c r="V21" s="238" t="s">
        <v>158</v>
      </c>
      <c r="W21" s="238" t="s">
        <v>158</v>
      </c>
      <c r="X21" s="238" t="s">
        <v>158</v>
      </c>
      <c r="Y21" s="238" t="s">
        <v>158</v>
      </c>
      <c r="Z21" s="238" t="s">
        <v>158</v>
      </c>
      <c r="AA21" s="316"/>
      <c r="AB21" s="107" t="s">
        <v>73</v>
      </c>
    </row>
    <row r="22" spans="1:28" ht="12.75">
      <c r="A22" s="120"/>
      <c r="B22" s="154" t="s">
        <v>74</v>
      </c>
      <c r="C22" s="288">
        <v>0.12</v>
      </c>
      <c r="D22" s="288">
        <v>0.15</v>
      </c>
      <c r="E22" s="235">
        <v>0.164</v>
      </c>
      <c r="F22" s="235">
        <v>0.141</v>
      </c>
      <c r="G22" s="235">
        <v>0.045</v>
      </c>
      <c r="H22" s="235">
        <v>0.05</v>
      </c>
      <c r="I22" s="235">
        <v>0.03</v>
      </c>
      <c r="J22" s="235">
        <v>0.018</v>
      </c>
      <c r="K22" s="235">
        <v>0.007</v>
      </c>
      <c r="L22" s="235">
        <v>0.009</v>
      </c>
      <c r="M22" s="235">
        <v>0.014</v>
      </c>
      <c r="N22" s="235">
        <v>0.003</v>
      </c>
      <c r="O22" s="235">
        <v>0.0014835999999999998</v>
      </c>
      <c r="P22" s="235">
        <v>0.0005356000000000001</v>
      </c>
      <c r="Q22" s="235">
        <v>0.000515</v>
      </c>
      <c r="R22" s="235">
        <v>0.0006651999999999999</v>
      </c>
      <c r="S22" s="235">
        <v>0.000621</v>
      </c>
      <c r="T22" s="235">
        <v>0.0013244</v>
      </c>
      <c r="U22" s="235">
        <v>0.0017951</v>
      </c>
      <c r="V22" s="235">
        <v>0.010973</v>
      </c>
      <c r="W22" s="235">
        <v>0.0126144</v>
      </c>
      <c r="X22" s="235">
        <v>0.003</v>
      </c>
      <c r="Y22" s="235">
        <v>0.003</v>
      </c>
      <c r="Z22" s="235">
        <v>0.003</v>
      </c>
      <c r="AA22" s="303">
        <v>0</v>
      </c>
      <c r="AB22" s="154" t="s">
        <v>74</v>
      </c>
    </row>
    <row r="23" spans="1:28" ht="12.75">
      <c r="A23" s="120"/>
      <c r="B23" s="107" t="s">
        <v>77</v>
      </c>
      <c r="C23" s="304">
        <v>0.302</v>
      </c>
      <c r="D23" s="304">
        <v>0.331</v>
      </c>
      <c r="E23" s="238">
        <v>0.362297836</v>
      </c>
      <c r="F23" s="238">
        <v>0.340424046</v>
      </c>
      <c r="G23" s="238">
        <v>0.338</v>
      </c>
      <c r="H23" s="238">
        <v>0.323</v>
      </c>
      <c r="I23" s="238">
        <v>0.317</v>
      </c>
      <c r="J23" s="238">
        <v>0.338</v>
      </c>
      <c r="K23" s="238">
        <v>0.321</v>
      </c>
      <c r="L23" s="238">
        <v>0.356</v>
      </c>
      <c r="M23" s="238">
        <v>0.369</v>
      </c>
      <c r="N23" s="238">
        <v>0.351</v>
      </c>
      <c r="O23" s="238">
        <v>0.378</v>
      </c>
      <c r="P23" s="238">
        <v>0.371</v>
      </c>
      <c r="Q23" s="238">
        <v>0.37</v>
      </c>
      <c r="R23" s="238">
        <v>0.316</v>
      </c>
      <c r="S23" s="238">
        <v>0.37</v>
      </c>
      <c r="T23" s="238">
        <v>0.342</v>
      </c>
      <c r="U23" s="238">
        <v>0.381</v>
      </c>
      <c r="V23" s="238">
        <v>0.345</v>
      </c>
      <c r="W23" s="238">
        <v>0.367</v>
      </c>
      <c r="X23" s="238">
        <v>0.279</v>
      </c>
      <c r="Y23" s="238">
        <v>0.359</v>
      </c>
      <c r="Z23" s="238">
        <v>0.305</v>
      </c>
      <c r="AA23" s="316">
        <v>-15.041782729805009</v>
      </c>
      <c r="AB23" s="107" t="s">
        <v>77</v>
      </c>
    </row>
    <row r="24" spans="1:28" ht="12.75">
      <c r="A24" s="120"/>
      <c r="B24" s="154" t="s">
        <v>78</v>
      </c>
      <c r="C24" s="288">
        <v>1.76</v>
      </c>
      <c r="D24" s="288">
        <v>2.15</v>
      </c>
      <c r="E24" s="917">
        <v>2.04</v>
      </c>
      <c r="F24" s="235">
        <v>1.72</v>
      </c>
      <c r="G24" s="235">
        <v>1.6</v>
      </c>
      <c r="H24" s="235">
        <v>1.62</v>
      </c>
      <c r="I24" s="235">
        <v>1.35</v>
      </c>
      <c r="J24" s="235">
        <v>1.211</v>
      </c>
      <c r="K24" s="235">
        <v>1.397</v>
      </c>
      <c r="L24" s="235">
        <v>1.441</v>
      </c>
      <c r="M24" s="235">
        <v>1.56</v>
      </c>
      <c r="N24" s="235">
        <v>0.958</v>
      </c>
      <c r="O24" s="235">
        <v>0.891</v>
      </c>
      <c r="P24" s="235">
        <v>1.087</v>
      </c>
      <c r="Q24" s="235">
        <v>1.407</v>
      </c>
      <c r="R24" s="235">
        <v>1.517</v>
      </c>
      <c r="S24" s="235">
        <v>1.904</v>
      </c>
      <c r="T24" s="235">
        <v>2.11</v>
      </c>
      <c r="U24" s="235">
        <v>1.913</v>
      </c>
      <c r="V24" s="235">
        <v>2.212</v>
      </c>
      <c r="W24" s="235">
        <v>2.25</v>
      </c>
      <c r="X24" s="235">
        <v>1.831</v>
      </c>
      <c r="Y24" s="235">
        <v>2.393</v>
      </c>
      <c r="Z24" s="235">
        <v>1.84</v>
      </c>
      <c r="AA24" s="303">
        <v>-23.109068115336385</v>
      </c>
      <c r="AB24" s="154" t="s">
        <v>78</v>
      </c>
    </row>
    <row r="25" spans="1:28" ht="12.75">
      <c r="A25" s="120"/>
      <c r="B25" s="107" t="s">
        <v>79</v>
      </c>
      <c r="C25" s="304" t="s">
        <v>158</v>
      </c>
      <c r="D25" s="304" t="s">
        <v>158</v>
      </c>
      <c r="E25" s="238" t="s">
        <v>158</v>
      </c>
      <c r="F25" s="238" t="s">
        <v>158</v>
      </c>
      <c r="G25" s="238" t="s">
        <v>158</v>
      </c>
      <c r="H25" s="238" t="s">
        <v>158</v>
      </c>
      <c r="I25" s="238" t="s">
        <v>158</v>
      </c>
      <c r="J25" s="238" t="s">
        <v>158</v>
      </c>
      <c r="K25" s="238" t="s">
        <v>158</v>
      </c>
      <c r="L25" s="238" t="s">
        <v>158</v>
      </c>
      <c r="M25" s="238" t="s">
        <v>158</v>
      </c>
      <c r="N25" s="238" t="s">
        <v>158</v>
      </c>
      <c r="O25" s="238" t="s">
        <v>158</v>
      </c>
      <c r="P25" s="238" t="s">
        <v>158</v>
      </c>
      <c r="Q25" s="238" t="s">
        <v>158</v>
      </c>
      <c r="R25" s="238" t="s">
        <v>158</v>
      </c>
      <c r="S25" s="238" t="s">
        <v>158</v>
      </c>
      <c r="T25" s="238" t="s">
        <v>158</v>
      </c>
      <c r="U25" s="238" t="s">
        <v>158</v>
      </c>
      <c r="V25" s="238" t="s">
        <v>158</v>
      </c>
      <c r="W25" s="238" t="s">
        <v>158</v>
      </c>
      <c r="X25" s="238" t="s">
        <v>158</v>
      </c>
      <c r="Y25" s="238" t="s">
        <v>158</v>
      </c>
      <c r="Z25" s="238" t="s">
        <v>158</v>
      </c>
      <c r="AA25" s="299"/>
      <c r="AB25" s="107" t="s">
        <v>79</v>
      </c>
    </row>
    <row r="26" spans="1:28" ht="12.75">
      <c r="A26" s="120"/>
      <c r="B26" s="154" t="s">
        <v>16</v>
      </c>
      <c r="C26" s="288">
        <v>30.618</v>
      </c>
      <c r="D26" s="288">
        <v>33.479</v>
      </c>
      <c r="E26" s="917">
        <v>35.661</v>
      </c>
      <c r="F26" s="235">
        <v>34.755</v>
      </c>
      <c r="G26" s="235">
        <v>33.53</v>
      </c>
      <c r="H26" s="235">
        <v>32.058</v>
      </c>
      <c r="I26" s="235">
        <v>36.011</v>
      </c>
      <c r="J26" s="235">
        <v>35.457</v>
      </c>
      <c r="K26" s="235">
        <v>35.513</v>
      </c>
      <c r="L26" s="235">
        <v>40.986</v>
      </c>
      <c r="M26" s="235">
        <v>40.683</v>
      </c>
      <c r="N26" s="235">
        <v>41.428</v>
      </c>
      <c r="O26" s="235">
        <v>41.271</v>
      </c>
      <c r="P26" s="235">
        <v>41.793</v>
      </c>
      <c r="Q26" s="235">
        <v>40.983</v>
      </c>
      <c r="R26" s="235">
        <v>39.031</v>
      </c>
      <c r="S26" s="235">
        <v>43.049</v>
      </c>
      <c r="T26" s="235">
        <v>42.233</v>
      </c>
      <c r="U26" s="235">
        <v>42.215</v>
      </c>
      <c r="V26" s="235">
        <v>45.995</v>
      </c>
      <c r="W26" s="235">
        <v>45.296</v>
      </c>
      <c r="X26" s="235">
        <v>35.656</v>
      </c>
      <c r="Y26" s="235">
        <v>40.286</v>
      </c>
      <c r="Z26" s="235">
        <v>46.316</v>
      </c>
      <c r="AA26" s="303">
        <v>14.967978950503902</v>
      </c>
      <c r="AB26" s="154" t="s">
        <v>16</v>
      </c>
    </row>
    <row r="27" spans="1:28" ht="12.75">
      <c r="A27" s="120"/>
      <c r="B27" s="107" t="s">
        <v>82</v>
      </c>
      <c r="C27" s="304">
        <v>1.293</v>
      </c>
      <c r="D27" s="304">
        <v>1.557</v>
      </c>
      <c r="E27" s="238">
        <v>1.663</v>
      </c>
      <c r="F27" s="238">
        <v>1.48</v>
      </c>
      <c r="G27" s="238">
        <v>1.437</v>
      </c>
      <c r="H27" s="238">
        <v>1.454</v>
      </c>
      <c r="I27" s="238">
        <v>1.82</v>
      </c>
      <c r="J27" s="238">
        <v>2.046</v>
      </c>
      <c r="K27" s="238">
        <v>2.101</v>
      </c>
      <c r="L27" s="238">
        <v>2.087</v>
      </c>
      <c r="M27" s="238">
        <v>2.28</v>
      </c>
      <c r="N27" s="238">
        <v>2.231</v>
      </c>
      <c r="O27" s="238">
        <v>2.444</v>
      </c>
      <c r="P27" s="238">
        <v>2.557</v>
      </c>
      <c r="Q27" s="238">
        <v>2.846</v>
      </c>
      <c r="R27" s="238">
        <v>2.276</v>
      </c>
      <c r="S27" s="238">
        <v>1.747</v>
      </c>
      <c r="T27" s="238">
        <v>1.753</v>
      </c>
      <c r="U27" s="238">
        <v>1.837</v>
      </c>
      <c r="V27" s="238">
        <v>2.5966173990000003</v>
      </c>
      <c r="W27" s="238">
        <v>2.359</v>
      </c>
      <c r="X27" s="238">
        <v>2.003</v>
      </c>
      <c r="Y27" s="238">
        <v>2.375</v>
      </c>
      <c r="Z27" s="238">
        <v>2.123</v>
      </c>
      <c r="AA27" s="316">
        <v>-10.610526315789459</v>
      </c>
      <c r="AB27" s="107" t="s">
        <v>82</v>
      </c>
    </row>
    <row r="28" spans="1:28" ht="12.75">
      <c r="A28" s="120"/>
      <c r="B28" s="154" t="s">
        <v>81</v>
      </c>
      <c r="C28" s="288">
        <v>2.3</v>
      </c>
      <c r="D28" s="288">
        <v>2.33</v>
      </c>
      <c r="E28" s="235">
        <v>1.034</v>
      </c>
      <c r="F28" s="235">
        <v>0.74</v>
      </c>
      <c r="G28" s="235">
        <v>0.75</v>
      </c>
      <c r="H28" s="235">
        <v>0.66</v>
      </c>
      <c r="I28" s="235">
        <v>0.79</v>
      </c>
      <c r="J28" s="235">
        <v>0.88</v>
      </c>
      <c r="K28" s="235">
        <v>0.85</v>
      </c>
      <c r="L28" s="235">
        <v>0.93</v>
      </c>
      <c r="M28" s="235">
        <v>1.1</v>
      </c>
      <c r="N28" s="235">
        <v>1.028</v>
      </c>
      <c r="O28" s="235">
        <v>1.173</v>
      </c>
      <c r="P28" s="235">
        <v>1.264</v>
      </c>
      <c r="Q28" s="235">
        <v>1.126</v>
      </c>
      <c r="R28" s="311">
        <v>0.872</v>
      </c>
      <c r="S28" s="235">
        <v>0.37</v>
      </c>
      <c r="T28" s="235">
        <v>0.327</v>
      </c>
      <c r="U28" s="235">
        <v>0.289</v>
      </c>
      <c r="V28" s="235">
        <v>0.277</v>
      </c>
      <c r="W28" s="235">
        <v>0.277</v>
      </c>
      <c r="X28" s="235">
        <v>0.202</v>
      </c>
      <c r="Y28" s="235">
        <v>0.13</v>
      </c>
      <c r="Z28" s="235">
        <v>0.161</v>
      </c>
      <c r="AA28" s="303">
        <v>23.84615384615385</v>
      </c>
      <c r="AB28" s="154" t="s">
        <v>81</v>
      </c>
    </row>
    <row r="29" spans="1:28" ht="12.75">
      <c r="A29" s="120"/>
      <c r="B29" s="107" t="s">
        <v>93</v>
      </c>
      <c r="C29" s="304" t="s">
        <v>158</v>
      </c>
      <c r="D29" s="304" t="s">
        <v>158</v>
      </c>
      <c r="E29" s="238" t="s">
        <v>158</v>
      </c>
      <c r="F29" s="238" t="s">
        <v>158</v>
      </c>
      <c r="G29" s="238" t="s">
        <v>158</v>
      </c>
      <c r="H29" s="238" t="s">
        <v>158</v>
      </c>
      <c r="I29" s="238" t="s">
        <v>158</v>
      </c>
      <c r="J29" s="238" t="s">
        <v>158</v>
      </c>
      <c r="K29" s="238" t="s">
        <v>158</v>
      </c>
      <c r="L29" s="238" t="s">
        <v>158</v>
      </c>
      <c r="M29" s="238" t="s">
        <v>158</v>
      </c>
      <c r="N29" s="238" t="s">
        <v>158</v>
      </c>
      <c r="O29" s="238" t="s">
        <v>158</v>
      </c>
      <c r="P29" s="238" t="s">
        <v>158</v>
      </c>
      <c r="Q29" s="238" t="s">
        <v>158</v>
      </c>
      <c r="R29" s="238" t="s">
        <v>158</v>
      </c>
      <c r="S29" s="238" t="s">
        <v>158</v>
      </c>
      <c r="T29" s="238" t="s">
        <v>158</v>
      </c>
      <c r="U29" s="238" t="s">
        <v>158</v>
      </c>
      <c r="V29" s="238" t="s">
        <v>158</v>
      </c>
      <c r="W29" s="238" t="s">
        <v>158</v>
      </c>
      <c r="X29" s="238" t="s">
        <v>158</v>
      </c>
      <c r="Y29" s="238" t="s">
        <v>158</v>
      </c>
      <c r="Z29" s="238" t="s">
        <v>158</v>
      </c>
      <c r="AA29" s="316"/>
      <c r="AB29" s="107" t="s">
        <v>93</v>
      </c>
    </row>
    <row r="30" spans="1:28" ht="12.75">
      <c r="A30" s="120"/>
      <c r="B30" s="154" t="s">
        <v>103</v>
      </c>
      <c r="C30" s="288">
        <v>1.35</v>
      </c>
      <c r="D30" s="288">
        <v>2.35</v>
      </c>
      <c r="E30" s="235">
        <v>2.09</v>
      </c>
      <c r="F30" s="235">
        <v>2.03</v>
      </c>
      <c r="G30" s="235">
        <v>1.89</v>
      </c>
      <c r="H30" s="235">
        <v>1.59</v>
      </c>
      <c r="I30" s="235">
        <v>1.9</v>
      </c>
      <c r="J30" s="235">
        <v>3.11</v>
      </c>
      <c r="K30" s="235">
        <v>3.77</v>
      </c>
      <c r="L30" s="235">
        <v>4.33</v>
      </c>
      <c r="M30" s="235">
        <v>4.203</v>
      </c>
      <c r="N30" s="235">
        <v>2.802</v>
      </c>
      <c r="O30" s="311">
        <v>2.634</v>
      </c>
      <c r="P30" s="235">
        <v>2.746</v>
      </c>
      <c r="Q30" s="235">
        <v>3.641</v>
      </c>
      <c r="R30" s="311">
        <v>3.521</v>
      </c>
      <c r="S30" s="235">
        <v>6.955</v>
      </c>
      <c r="T30" s="235">
        <v>8.435</v>
      </c>
      <c r="U30" s="235">
        <v>8.157</v>
      </c>
      <c r="V30" s="235">
        <v>8.155</v>
      </c>
      <c r="W30" s="311">
        <v>8.687</v>
      </c>
      <c r="X30" s="235">
        <v>11.765</v>
      </c>
      <c r="Y30" s="235">
        <v>14.317</v>
      </c>
      <c r="Z30" s="235">
        <v>11.409</v>
      </c>
      <c r="AA30" s="303">
        <v>-20.3115177760704</v>
      </c>
      <c r="AB30" s="154" t="s">
        <v>103</v>
      </c>
    </row>
    <row r="31" spans="1:28" ht="12.75">
      <c r="A31" s="120"/>
      <c r="B31" s="107" t="s">
        <v>84</v>
      </c>
      <c r="C31" s="286" t="s">
        <v>158</v>
      </c>
      <c r="D31" s="286" t="s">
        <v>158</v>
      </c>
      <c r="E31" s="240" t="s">
        <v>158</v>
      </c>
      <c r="F31" s="240" t="s">
        <v>158</v>
      </c>
      <c r="G31" s="240" t="s">
        <v>158</v>
      </c>
      <c r="H31" s="240" t="s">
        <v>158</v>
      </c>
      <c r="I31" s="240" t="s">
        <v>158</v>
      </c>
      <c r="J31" s="240" t="s">
        <v>158</v>
      </c>
      <c r="K31" s="240" t="s">
        <v>158</v>
      </c>
      <c r="L31" s="240" t="s">
        <v>158</v>
      </c>
      <c r="M31" s="240" t="s">
        <v>158</v>
      </c>
      <c r="N31" s="240" t="s">
        <v>158</v>
      </c>
      <c r="O31" s="240" t="s">
        <v>158</v>
      </c>
      <c r="P31" s="240" t="s">
        <v>158</v>
      </c>
      <c r="Q31" s="240" t="s">
        <v>158</v>
      </c>
      <c r="R31" s="240" t="s">
        <v>158</v>
      </c>
      <c r="S31" s="240" t="s">
        <v>158</v>
      </c>
      <c r="T31" s="240" t="s">
        <v>158</v>
      </c>
      <c r="U31" s="240" t="s">
        <v>158</v>
      </c>
      <c r="V31" s="240" t="s">
        <v>158</v>
      </c>
      <c r="W31" s="240" t="s">
        <v>158</v>
      </c>
      <c r="X31" s="238" t="s">
        <v>158</v>
      </c>
      <c r="Y31" s="238" t="s">
        <v>158</v>
      </c>
      <c r="Z31" s="238" t="s">
        <v>158</v>
      </c>
      <c r="AA31" s="302"/>
      <c r="AB31" s="107" t="s">
        <v>84</v>
      </c>
    </row>
    <row r="32" spans="1:28" ht="12.75">
      <c r="A32" s="120"/>
      <c r="B32" s="154" t="s">
        <v>86</v>
      </c>
      <c r="C32" s="288"/>
      <c r="D32" s="288"/>
      <c r="E32" s="235"/>
      <c r="F32" s="235"/>
      <c r="G32" s="235"/>
      <c r="H32" s="235"/>
      <c r="I32" s="235">
        <v>0.8461</v>
      </c>
      <c r="J32" s="235">
        <v>1.4682</v>
      </c>
      <c r="K32" s="235">
        <v>1.5979</v>
      </c>
      <c r="L32" s="235">
        <v>1.5193</v>
      </c>
      <c r="M32" s="235">
        <v>1.5269</v>
      </c>
      <c r="N32" s="235">
        <v>1.6626</v>
      </c>
      <c r="O32" s="235">
        <v>1.3793</v>
      </c>
      <c r="P32" s="235">
        <v>0.9952</v>
      </c>
      <c r="Q32" s="235">
        <v>0.5997</v>
      </c>
      <c r="R32" s="235">
        <v>0.5225</v>
      </c>
      <c r="S32" s="235">
        <v>0.741</v>
      </c>
      <c r="T32" s="235">
        <v>0.7403</v>
      </c>
      <c r="U32" s="235">
        <v>0.6488</v>
      </c>
      <c r="V32" s="235">
        <v>1.004</v>
      </c>
      <c r="W32" s="235">
        <v>1.101</v>
      </c>
      <c r="X32" s="235">
        <v>0.899</v>
      </c>
      <c r="Y32" s="235">
        <v>1.189</v>
      </c>
      <c r="Z32" s="235">
        <v>0.931</v>
      </c>
      <c r="AA32" s="303">
        <v>-21.698906644238857</v>
      </c>
      <c r="AB32" s="154" t="s">
        <v>86</v>
      </c>
    </row>
    <row r="33" spans="1:28" ht="12.75">
      <c r="A33" s="120"/>
      <c r="B33" s="107" t="s">
        <v>88</v>
      </c>
      <c r="C33" s="286">
        <v>2</v>
      </c>
      <c r="D33" s="286">
        <v>1.8</v>
      </c>
      <c r="E33" s="240">
        <v>1.1</v>
      </c>
      <c r="F33" s="240">
        <v>0.8</v>
      </c>
      <c r="G33" s="240">
        <v>0.5</v>
      </c>
      <c r="H33" s="240">
        <v>0.4</v>
      </c>
      <c r="I33" s="321">
        <v>0.3</v>
      </c>
      <c r="J33" s="240">
        <v>0.077</v>
      </c>
      <c r="K33" s="240">
        <v>0.1</v>
      </c>
      <c r="L33" s="240">
        <v>0.1</v>
      </c>
      <c r="M33" s="240">
        <v>0.118</v>
      </c>
      <c r="N33" s="240">
        <v>0.118</v>
      </c>
      <c r="O33" s="240">
        <v>0.118</v>
      </c>
      <c r="P33" s="240">
        <v>0.101</v>
      </c>
      <c r="Q33" s="240">
        <v>0.112</v>
      </c>
      <c r="R33" s="240">
        <v>0.109</v>
      </c>
      <c r="S33" s="240">
        <v>0.118</v>
      </c>
      <c r="T33" s="240">
        <v>0.075</v>
      </c>
      <c r="U33" s="240">
        <v>0.066</v>
      </c>
      <c r="V33" s="240">
        <v>0.101</v>
      </c>
      <c r="W33" s="240">
        <v>0.08</v>
      </c>
      <c r="X33" s="240">
        <v>0.061</v>
      </c>
      <c r="Y33" s="240">
        <v>0.076</v>
      </c>
      <c r="Z33" s="240">
        <v>0.09</v>
      </c>
      <c r="AA33" s="302">
        <v>18.421052631578938</v>
      </c>
      <c r="AB33" s="107" t="s">
        <v>88</v>
      </c>
    </row>
    <row r="34" spans="1:28" ht="12.75">
      <c r="A34" s="120"/>
      <c r="B34" s="154" t="s">
        <v>89</v>
      </c>
      <c r="C34" s="288" t="s">
        <v>158</v>
      </c>
      <c r="D34" s="288" t="s">
        <v>158</v>
      </c>
      <c r="E34" s="235" t="s">
        <v>158</v>
      </c>
      <c r="F34" s="235" t="s">
        <v>158</v>
      </c>
      <c r="G34" s="235" t="s">
        <v>158</v>
      </c>
      <c r="H34" s="235" t="s">
        <v>158</v>
      </c>
      <c r="I34" s="235" t="s">
        <v>158</v>
      </c>
      <c r="J34" s="235" t="s">
        <v>158</v>
      </c>
      <c r="K34" s="235" t="s">
        <v>158</v>
      </c>
      <c r="L34" s="235" t="s">
        <v>158</v>
      </c>
      <c r="M34" s="235" t="s">
        <v>158</v>
      </c>
      <c r="N34" s="235" t="s">
        <v>158</v>
      </c>
      <c r="O34" s="235" t="s">
        <v>158</v>
      </c>
      <c r="P34" s="235" t="s">
        <v>158</v>
      </c>
      <c r="Q34" s="235" t="s">
        <v>158</v>
      </c>
      <c r="R34" s="235" t="s">
        <v>158</v>
      </c>
      <c r="S34" s="235" t="s">
        <v>158</v>
      </c>
      <c r="T34" s="235" t="s">
        <v>158</v>
      </c>
      <c r="U34" s="235" t="s">
        <v>158</v>
      </c>
      <c r="V34" s="235" t="s">
        <v>158</v>
      </c>
      <c r="W34" s="235" t="s">
        <v>158</v>
      </c>
      <c r="X34" s="235" t="s">
        <v>158</v>
      </c>
      <c r="Y34" s="235" t="s">
        <v>158</v>
      </c>
      <c r="Z34" s="235" t="s">
        <v>158</v>
      </c>
      <c r="AA34" s="303"/>
      <c r="AB34" s="154" t="s">
        <v>89</v>
      </c>
    </row>
    <row r="35" spans="1:28" ht="12.75">
      <c r="A35" s="120"/>
      <c r="B35" s="109" t="s">
        <v>13</v>
      </c>
      <c r="C35" s="286">
        <v>0.3</v>
      </c>
      <c r="D35" s="286">
        <v>0.4</v>
      </c>
      <c r="E35" s="240">
        <v>0.3</v>
      </c>
      <c r="F35" s="240">
        <v>0.2</v>
      </c>
      <c r="G35" s="240">
        <v>0.19</v>
      </c>
      <c r="H35" s="240">
        <v>0.2</v>
      </c>
      <c r="I35" s="240">
        <v>0.2</v>
      </c>
      <c r="J35" s="240">
        <v>0.2</v>
      </c>
      <c r="K35" s="240">
        <v>0.18</v>
      </c>
      <c r="L35" s="240">
        <v>0.15</v>
      </c>
      <c r="M35" s="240">
        <v>0.15</v>
      </c>
      <c r="N35" s="240">
        <v>0.16</v>
      </c>
      <c r="O35" s="240">
        <v>0.21</v>
      </c>
      <c r="P35" s="240">
        <v>0.19</v>
      </c>
      <c r="Q35" s="240">
        <v>0.18</v>
      </c>
      <c r="R35" s="240">
        <v>0.18</v>
      </c>
      <c r="S35" s="240">
        <v>0.15</v>
      </c>
      <c r="T35" s="240">
        <v>0.17</v>
      </c>
      <c r="U35" s="240">
        <v>0.16</v>
      </c>
      <c r="V35" s="240">
        <v>0.162</v>
      </c>
      <c r="W35" s="240">
        <v>0.149</v>
      </c>
      <c r="X35" s="240">
        <v>0.155</v>
      </c>
      <c r="Y35" s="240">
        <v>0.136845277233636</v>
      </c>
      <c r="Z35" s="240">
        <v>0.14</v>
      </c>
      <c r="AA35" s="971">
        <v>2.305320892425078</v>
      </c>
      <c r="AB35" s="109" t="s">
        <v>13</v>
      </c>
    </row>
    <row r="36" spans="1:28" ht="12.75">
      <c r="A36" s="120"/>
      <c r="B36" s="154" t="s">
        <v>164</v>
      </c>
      <c r="C36" s="323">
        <v>0.3</v>
      </c>
      <c r="D36" s="323">
        <v>0.6</v>
      </c>
      <c r="E36" s="249">
        <v>0.5</v>
      </c>
      <c r="F36" s="249" t="s">
        <v>100</v>
      </c>
      <c r="G36" s="249" t="s">
        <v>100</v>
      </c>
      <c r="H36" s="249" t="s">
        <v>100</v>
      </c>
      <c r="I36" s="249" t="s">
        <v>100</v>
      </c>
      <c r="J36" s="249">
        <v>0.033</v>
      </c>
      <c r="K36" s="249">
        <v>0.022</v>
      </c>
      <c r="L36" s="249">
        <v>0.022</v>
      </c>
      <c r="M36" s="249">
        <v>0.053</v>
      </c>
      <c r="N36" s="249">
        <v>0.052</v>
      </c>
      <c r="O36" s="249">
        <v>0.063536</v>
      </c>
      <c r="P36" s="249">
        <v>0.077484</v>
      </c>
      <c r="Q36" s="249">
        <v>0.089745</v>
      </c>
      <c r="R36" s="249">
        <v>0.1001</v>
      </c>
      <c r="S36" s="249">
        <v>0.1787</v>
      </c>
      <c r="T36" s="249">
        <v>0.1186</v>
      </c>
      <c r="U36" s="249">
        <v>0.1164</v>
      </c>
      <c r="V36" s="249">
        <v>0.108961285</v>
      </c>
      <c r="W36" s="976">
        <v>0.842</v>
      </c>
      <c r="X36" s="249">
        <v>0.727</v>
      </c>
      <c r="Y36" s="249">
        <v>0.94</v>
      </c>
      <c r="Z36" s="249">
        <v>0.692</v>
      </c>
      <c r="AA36" s="958">
        <v>-26.38297872340426</v>
      </c>
      <c r="AB36" s="154" t="s">
        <v>164</v>
      </c>
    </row>
    <row r="37" spans="1:28" ht="12.75">
      <c r="A37" s="120"/>
      <c r="B37" s="107" t="s">
        <v>165</v>
      </c>
      <c r="C37" s="304" t="s">
        <v>158</v>
      </c>
      <c r="D37" s="304" t="s">
        <v>158</v>
      </c>
      <c r="E37" s="238" t="s">
        <v>158</v>
      </c>
      <c r="F37" s="238" t="s">
        <v>158</v>
      </c>
      <c r="G37" s="238" t="s">
        <v>158</v>
      </c>
      <c r="H37" s="238" t="s">
        <v>158</v>
      </c>
      <c r="I37" s="238" t="s">
        <v>158</v>
      </c>
      <c r="J37" s="238" t="s">
        <v>158</v>
      </c>
      <c r="K37" s="238" t="s">
        <v>158</v>
      </c>
      <c r="L37" s="238" t="s">
        <v>158</v>
      </c>
      <c r="M37" s="238" t="s">
        <v>158</v>
      </c>
      <c r="N37" s="238" t="s">
        <v>158</v>
      </c>
      <c r="O37" s="238" t="s">
        <v>158</v>
      </c>
      <c r="P37" s="238" t="s">
        <v>158</v>
      </c>
      <c r="Q37" s="238" t="s">
        <v>158</v>
      </c>
      <c r="R37" s="238" t="s">
        <v>158</v>
      </c>
      <c r="S37" s="238" t="s">
        <v>158</v>
      </c>
      <c r="T37" s="238" t="s">
        <v>158</v>
      </c>
      <c r="U37" s="238" t="s">
        <v>158</v>
      </c>
      <c r="V37" s="238" t="s">
        <v>158</v>
      </c>
      <c r="W37" s="238" t="s">
        <v>158</v>
      </c>
      <c r="X37" s="238" t="s">
        <v>158</v>
      </c>
      <c r="Y37" s="238" t="s">
        <v>158</v>
      </c>
      <c r="Z37" s="238" t="s">
        <v>158</v>
      </c>
      <c r="AA37" s="302"/>
      <c r="AB37" s="107" t="s">
        <v>165</v>
      </c>
    </row>
    <row r="38" spans="1:28" ht="12.75">
      <c r="A38" s="120"/>
      <c r="B38" s="156" t="s">
        <v>166</v>
      </c>
      <c r="C38" s="325" t="s">
        <v>158</v>
      </c>
      <c r="D38" s="325" t="s">
        <v>158</v>
      </c>
      <c r="E38" s="326" t="s">
        <v>158</v>
      </c>
      <c r="F38" s="326" t="s">
        <v>158</v>
      </c>
      <c r="G38" s="326" t="s">
        <v>158</v>
      </c>
      <c r="H38" s="326" t="s">
        <v>158</v>
      </c>
      <c r="I38" s="326" t="s">
        <v>158</v>
      </c>
      <c r="J38" s="326" t="s">
        <v>158</v>
      </c>
      <c r="K38" s="326" t="s">
        <v>158</v>
      </c>
      <c r="L38" s="326" t="s">
        <v>158</v>
      </c>
      <c r="M38" s="326" t="s">
        <v>158</v>
      </c>
      <c r="N38" s="326" t="s">
        <v>158</v>
      </c>
      <c r="O38" s="326" t="s">
        <v>158</v>
      </c>
      <c r="P38" s="326" t="s">
        <v>158</v>
      </c>
      <c r="Q38" s="326" t="s">
        <v>158</v>
      </c>
      <c r="R38" s="326" t="s">
        <v>158</v>
      </c>
      <c r="S38" s="326" t="s">
        <v>158</v>
      </c>
      <c r="T38" s="326" t="s">
        <v>158</v>
      </c>
      <c r="U38" s="326" t="s">
        <v>158</v>
      </c>
      <c r="V38" s="326" t="s">
        <v>158</v>
      </c>
      <c r="W38" s="326" t="s">
        <v>158</v>
      </c>
      <c r="X38" s="326" t="s">
        <v>158</v>
      </c>
      <c r="Y38" s="326" t="s">
        <v>158</v>
      </c>
      <c r="Z38" s="326" t="s">
        <v>158</v>
      </c>
      <c r="AA38" s="404"/>
      <c r="AB38" s="156" t="s">
        <v>166</v>
      </c>
    </row>
    <row r="39" spans="1:28" ht="12.75">
      <c r="A39" s="120"/>
      <c r="B39" s="107" t="s">
        <v>167</v>
      </c>
      <c r="C39" s="977" t="s">
        <v>158</v>
      </c>
      <c r="D39" s="977" t="s">
        <v>158</v>
      </c>
      <c r="E39" s="252" t="s">
        <v>158</v>
      </c>
      <c r="F39" s="252" t="s">
        <v>158</v>
      </c>
      <c r="G39" s="252" t="s">
        <v>158</v>
      </c>
      <c r="H39" s="252" t="s">
        <v>158</v>
      </c>
      <c r="I39" s="252" t="s">
        <v>158</v>
      </c>
      <c r="J39" s="252" t="s">
        <v>158</v>
      </c>
      <c r="K39" s="252" t="s">
        <v>158</v>
      </c>
      <c r="L39" s="252" t="s">
        <v>158</v>
      </c>
      <c r="M39" s="252" t="s">
        <v>158</v>
      </c>
      <c r="N39" s="252" t="s">
        <v>158</v>
      </c>
      <c r="O39" s="252" t="s">
        <v>158</v>
      </c>
      <c r="P39" s="252" t="s">
        <v>158</v>
      </c>
      <c r="Q39" s="252" t="s">
        <v>158</v>
      </c>
      <c r="R39" s="252" t="s">
        <v>158</v>
      </c>
      <c r="S39" s="252" t="s">
        <v>158</v>
      </c>
      <c r="T39" s="252" t="s">
        <v>158</v>
      </c>
      <c r="U39" s="252" t="s">
        <v>158</v>
      </c>
      <c r="V39" s="252" t="s">
        <v>158</v>
      </c>
      <c r="W39" s="252" t="s">
        <v>158</v>
      </c>
      <c r="X39" s="252" t="s">
        <v>158</v>
      </c>
      <c r="Y39" s="252" t="s">
        <v>158</v>
      </c>
      <c r="Z39" s="252" t="s">
        <v>158</v>
      </c>
      <c r="AA39" s="302"/>
      <c r="AB39" s="107" t="s">
        <v>167</v>
      </c>
    </row>
    <row r="40" spans="1:28" ht="12.75">
      <c r="A40" s="120"/>
      <c r="B40" s="154" t="s">
        <v>168</v>
      </c>
      <c r="C40" s="288" t="s">
        <v>158</v>
      </c>
      <c r="D40" s="288" t="s">
        <v>158</v>
      </c>
      <c r="E40" s="235" t="s">
        <v>158</v>
      </c>
      <c r="F40" s="235" t="s">
        <v>158</v>
      </c>
      <c r="G40" s="235" t="s">
        <v>158</v>
      </c>
      <c r="H40" s="235" t="s">
        <v>158</v>
      </c>
      <c r="I40" s="235" t="s">
        <v>158</v>
      </c>
      <c r="J40" s="235" t="s">
        <v>158</v>
      </c>
      <c r="K40" s="235" t="s">
        <v>158</v>
      </c>
      <c r="L40" s="235" t="s">
        <v>158</v>
      </c>
      <c r="M40" s="235" t="s">
        <v>158</v>
      </c>
      <c r="N40" s="235" t="s">
        <v>158</v>
      </c>
      <c r="O40" s="235" t="s">
        <v>158</v>
      </c>
      <c r="P40" s="235" t="s">
        <v>158</v>
      </c>
      <c r="Q40" s="235" t="s">
        <v>158</v>
      </c>
      <c r="R40" s="235" t="s">
        <v>158</v>
      </c>
      <c r="S40" s="235" t="s">
        <v>158</v>
      </c>
      <c r="T40" s="235" t="s">
        <v>158</v>
      </c>
      <c r="U40" s="235" t="s">
        <v>158</v>
      </c>
      <c r="V40" s="235" t="s">
        <v>158</v>
      </c>
      <c r="W40" s="235" t="s">
        <v>158</v>
      </c>
      <c r="X40" s="235" t="s">
        <v>158</v>
      </c>
      <c r="Y40" s="235" t="s">
        <v>158</v>
      </c>
      <c r="Z40" s="235" t="s">
        <v>158</v>
      </c>
      <c r="AA40" s="303"/>
      <c r="AB40" s="154" t="s">
        <v>168</v>
      </c>
    </row>
    <row r="41" spans="1:28" ht="12.75">
      <c r="A41" s="120"/>
      <c r="B41" s="109" t="s">
        <v>169</v>
      </c>
      <c r="C41" s="973">
        <v>0.139</v>
      </c>
      <c r="D41" s="973">
        <v>0.125</v>
      </c>
      <c r="E41" s="978">
        <v>0.196</v>
      </c>
      <c r="F41" s="922">
        <v>0.19</v>
      </c>
      <c r="G41" s="922">
        <v>0.18</v>
      </c>
      <c r="H41" s="922">
        <v>0.17</v>
      </c>
      <c r="I41" s="247">
        <v>0.16</v>
      </c>
      <c r="J41" s="979">
        <v>0.0472</v>
      </c>
      <c r="K41" s="922">
        <v>0.0436</v>
      </c>
      <c r="L41" s="922">
        <v>0.0487</v>
      </c>
      <c r="M41" s="922">
        <v>0.049</v>
      </c>
      <c r="N41" s="922">
        <v>0.0417</v>
      </c>
      <c r="O41" s="922">
        <v>0.0521</v>
      </c>
      <c r="P41" s="922">
        <v>0.0555</v>
      </c>
      <c r="Q41" s="922">
        <v>0.0521</v>
      </c>
      <c r="R41" s="922">
        <v>0.0444</v>
      </c>
      <c r="S41" s="922">
        <v>0.0451</v>
      </c>
      <c r="T41" s="922">
        <v>0.0466</v>
      </c>
      <c r="U41" s="922">
        <v>0.042</v>
      </c>
      <c r="V41" s="922">
        <v>0.0453</v>
      </c>
      <c r="W41" s="922">
        <v>0.04265</v>
      </c>
      <c r="X41" s="922">
        <v>0.041</v>
      </c>
      <c r="Y41" s="922">
        <v>0.04009</v>
      </c>
      <c r="Z41" s="922">
        <v>0.0364</v>
      </c>
      <c r="AA41" s="971">
        <v>-9.20429034671988</v>
      </c>
      <c r="AB41" s="109" t="s">
        <v>169</v>
      </c>
    </row>
    <row r="42" spans="1:28" ht="12.75">
      <c r="A42"/>
      <c r="B42" s="1085" t="s">
        <v>326</v>
      </c>
      <c r="C42" s="1085"/>
      <c r="D42" s="1085"/>
      <c r="E42" s="1085"/>
      <c r="F42" s="1085"/>
      <c r="G42" s="1085"/>
      <c r="H42" s="1085"/>
      <c r="I42" s="1085"/>
      <c r="J42" s="1085"/>
      <c r="K42" s="1085"/>
      <c r="L42" s="1085"/>
      <c r="M42" s="1085"/>
      <c r="N42" s="1085"/>
      <c r="O42" s="1085"/>
      <c r="P42" s="1085"/>
      <c r="Q42" s="1085"/>
      <c r="R42" s="1085"/>
      <c r="S42" s="1085"/>
      <c r="T42" s="1085"/>
      <c r="U42" s="1085"/>
      <c r="V42" s="1085"/>
      <c r="W42" s="1085"/>
      <c r="X42" s="1085"/>
      <c r="Y42" s="1085"/>
      <c r="Z42" s="1085"/>
      <c r="AA42" s="1085"/>
      <c r="AB42" s="1085"/>
    </row>
    <row r="43" spans="1:19" ht="12.75">
      <c r="A43"/>
      <c r="B43" s="1086" t="s">
        <v>197</v>
      </c>
      <c r="C43" s="1086"/>
      <c r="D43" s="1086"/>
      <c r="E43" s="1086"/>
      <c r="F43" s="1086"/>
      <c r="G43" s="1086"/>
      <c r="H43" s="1086"/>
      <c r="I43" s="1086"/>
      <c r="J43" s="1086"/>
      <c r="K43" s="1086"/>
      <c r="L43" s="1086"/>
      <c r="M43" s="1086"/>
      <c r="N43" s="1086"/>
      <c r="O43" s="1086"/>
      <c r="P43" s="1086"/>
      <c r="Q43" s="1086"/>
      <c r="R43" s="1086"/>
      <c r="S43" s="1086"/>
    </row>
    <row r="44" spans="1:28" ht="12.75">
      <c r="A44" s="384"/>
      <c r="B44" s="980" t="s">
        <v>327</v>
      </c>
      <c r="C44" s="981"/>
      <c r="D44" s="981"/>
      <c r="E44" s="981"/>
      <c r="F44" s="981"/>
      <c r="G44" s="981"/>
      <c r="H44" s="981"/>
      <c r="I44" s="981"/>
      <c r="J44" s="981"/>
      <c r="K44" s="981"/>
      <c r="L44" s="981"/>
      <c r="M44" s="981"/>
      <c r="N44" s="981"/>
      <c r="O44" s="981"/>
      <c r="P44" s="981"/>
      <c r="Q44" s="981"/>
      <c r="R44" s="981"/>
      <c r="S44" s="981"/>
      <c r="T44" s="982"/>
      <c r="U44" s="982"/>
      <c r="V44" s="982"/>
      <c r="W44" s="982"/>
      <c r="X44" s="982"/>
      <c r="Y44" s="982"/>
      <c r="Z44" s="982"/>
      <c r="AA44" s="982"/>
      <c r="AB44" s="982"/>
    </row>
    <row r="45" spans="1:16" ht="12.75">
      <c r="A45"/>
      <c r="B45" s="340" t="s">
        <v>328</v>
      </c>
      <c r="C45"/>
      <c r="D45"/>
      <c r="E45"/>
      <c r="F45"/>
      <c r="G45"/>
      <c r="H45"/>
      <c r="I45"/>
      <c r="J45"/>
      <c r="K45"/>
      <c r="L45"/>
      <c r="P45"/>
    </row>
    <row r="46" spans="1:12" ht="12.75">
      <c r="A46"/>
      <c r="B46" s="135" t="s">
        <v>329</v>
      </c>
      <c r="C46"/>
      <c r="D46"/>
      <c r="E46"/>
      <c r="F46"/>
      <c r="G46"/>
      <c r="H46"/>
      <c r="I46"/>
      <c r="J46"/>
      <c r="K46"/>
      <c r="L46"/>
    </row>
    <row r="47" spans="1:2" ht="12.75">
      <c r="A47"/>
      <c r="B47" s="135" t="s">
        <v>330</v>
      </c>
    </row>
    <row r="48" spans="1:2" ht="12.75">
      <c r="A48"/>
      <c r="B48" s="135" t="s">
        <v>331</v>
      </c>
    </row>
    <row r="49" ht="12.75">
      <c r="A49"/>
    </row>
    <row r="50" spans="1:4" ht="12.75">
      <c r="A50"/>
      <c r="B50"/>
      <c r="C50"/>
      <c r="D50"/>
    </row>
    <row r="51" spans="1:4" ht="12.75">
      <c r="A51"/>
      <c r="B51"/>
      <c r="C51"/>
      <c r="D51"/>
    </row>
    <row r="52" spans="1:4" ht="12.75">
      <c r="A52"/>
      <c r="B52"/>
      <c r="C52"/>
      <c r="D52"/>
    </row>
    <row r="53" spans="1:4" ht="12.75">
      <c r="A53"/>
      <c r="B53"/>
      <c r="C53"/>
      <c r="D53"/>
    </row>
    <row r="54" spans="1:4" ht="12.75">
      <c r="A54"/>
      <c r="B54"/>
      <c r="C54"/>
      <c r="D54"/>
    </row>
    <row r="55" spans="1:4" ht="12.75">
      <c r="A55"/>
      <c r="B55"/>
      <c r="C55"/>
      <c r="D55"/>
    </row>
    <row r="56" spans="1:4" ht="12.75">
      <c r="A56"/>
      <c r="B56"/>
      <c r="C56"/>
      <c r="D56"/>
    </row>
  </sheetData>
  <sheetProtection/>
  <mergeCells count="4">
    <mergeCell ref="B2:AB2"/>
    <mergeCell ref="W3:X3"/>
    <mergeCell ref="B42:AB42"/>
    <mergeCell ref="B43:S4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AB46"/>
  <sheetViews>
    <sheetView zoomScalePageLayoutView="0" workbookViewId="0" topLeftCell="J3">
      <selection activeCell="O35" sqref="O9:O35"/>
    </sheetView>
  </sheetViews>
  <sheetFormatPr defaultColWidth="9.140625" defaultRowHeight="12.75"/>
  <cols>
    <col min="1" max="28" width="9.140625" style="101" customWidth="1"/>
  </cols>
  <sheetData>
    <row r="1" spans="2:28" ht="15.75">
      <c r="B1" s="263"/>
      <c r="C1" s="558"/>
      <c r="D1" s="558"/>
      <c r="E1" s="100"/>
      <c r="F1" s="100"/>
      <c r="G1" s="100"/>
      <c r="H1" s="100"/>
      <c r="I1" s="100"/>
      <c r="J1" s="100"/>
      <c r="K1" s="100"/>
      <c r="L1" s="100"/>
      <c r="M1" s="100"/>
      <c r="N1" s="100"/>
      <c r="O1" s="100"/>
      <c r="P1" s="100"/>
      <c r="R1"/>
      <c r="U1" s="102"/>
      <c r="V1" s="102"/>
      <c r="W1" s="102"/>
      <c r="X1" s="102"/>
      <c r="Y1" s="102"/>
      <c r="Z1" s="102"/>
      <c r="AB1" s="102" t="s">
        <v>332</v>
      </c>
    </row>
    <row r="2" spans="1:28" ht="15.75">
      <c r="A2" s="268"/>
      <c r="B2" s="1087" t="s">
        <v>333</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row>
    <row r="3" spans="2:28" ht="12.75">
      <c r="B3" s="142"/>
      <c r="C3" s="142"/>
      <c r="E3" s="333"/>
      <c r="F3" s="333"/>
      <c r="G3" s="333"/>
      <c r="H3" s="333"/>
      <c r="I3" s="333"/>
      <c r="J3" s="560"/>
      <c r="K3" s="560"/>
      <c r="L3" s="560"/>
      <c r="M3" s="560"/>
      <c r="N3" s="560"/>
      <c r="O3" s="560"/>
      <c r="R3" s="899"/>
      <c r="W3" s="1084" t="s">
        <v>308</v>
      </c>
      <c r="X3" s="1084"/>
      <c r="Y3" s="269"/>
      <c r="Z3" s="269"/>
      <c r="AA3" s="270"/>
      <c r="AB3" s="967"/>
    </row>
    <row r="4" spans="2:28" ht="18.75">
      <c r="B4" s="103"/>
      <c r="C4" s="104">
        <v>1970</v>
      </c>
      <c r="D4" s="104">
        <v>1980</v>
      </c>
      <c r="E4" s="106">
        <v>1990</v>
      </c>
      <c r="F4" s="106">
        <v>1991</v>
      </c>
      <c r="G4" s="106">
        <v>1992</v>
      </c>
      <c r="H4" s="106">
        <v>1993</v>
      </c>
      <c r="I4" s="106">
        <v>1994</v>
      </c>
      <c r="J4" s="106">
        <v>1995</v>
      </c>
      <c r="K4" s="106">
        <v>1996</v>
      </c>
      <c r="L4" s="106">
        <v>1997</v>
      </c>
      <c r="M4" s="106">
        <v>1998</v>
      </c>
      <c r="N4" s="106">
        <v>1999</v>
      </c>
      <c r="O4" s="106">
        <v>2000</v>
      </c>
      <c r="P4" s="106">
        <v>2001</v>
      </c>
      <c r="Q4" s="106">
        <v>2002</v>
      </c>
      <c r="R4" s="106">
        <v>2003</v>
      </c>
      <c r="S4" s="106">
        <v>2004</v>
      </c>
      <c r="T4" s="106">
        <v>2005</v>
      </c>
      <c r="U4" s="106">
        <v>2006</v>
      </c>
      <c r="V4" s="106">
        <v>2007</v>
      </c>
      <c r="W4" s="106">
        <v>2008</v>
      </c>
      <c r="X4" s="106">
        <v>2009</v>
      </c>
      <c r="Y4" s="106">
        <v>2010</v>
      </c>
      <c r="Z4" s="106">
        <v>2011</v>
      </c>
      <c r="AA4" s="141" t="s">
        <v>159</v>
      </c>
      <c r="AB4" s="346"/>
    </row>
    <row r="5" spans="2:28" ht="12.75">
      <c r="B5" s="143"/>
      <c r="C5" s="145"/>
      <c r="D5" s="145"/>
      <c r="E5" s="146"/>
      <c r="F5" s="146"/>
      <c r="G5" s="146"/>
      <c r="H5" s="146"/>
      <c r="I5" s="146"/>
      <c r="J5" s="146"/>
      <c r="K5" s="146"/>
      <c r="L5" s="146"/>
      <c r="M5" s="146"/>
      <c r="N5" s="146"/>
      <c r="O5" s="146"/>
      <c r="P5" s="146"/>
      <c r="Q5" s="146"/>
      <c r="R5" s="146"/>
      <c r="S5" s="146"/>
      <c r="T5" s="146"/>
      <c r="U5" s="146"/>
      <c r="V5" s="146"/>
      <c r="W5" s="146"/>
      <c r="X5" s="146"/>
      <c r="Y5" s="146"/>
      <c r="Z5" s="146"/>
      <c r="AA5" s="272" t="s">
        <v>160</v>
      </c>
      <c r="AB5" s="346"/>
    </row>
    <row r="6" spans="2:28" ht="12.75">
      <c r="B6" s="148" t="s">
        <v>161</v>
      </c>
      <c r="C6" s="387"/>
      <c r="D6" s="387"/>
      <c r="E6" s="350"/>
      <c r="F6" s="350"/>
      <c r="G6" s="350"/>
      <c r="H6" s="350"/>
      <c r="I6" s="350">
        <v>115.488</v>
      </c>
      <c r="J6" s="224">
        <v>114.90729999999999</v>
      </c>
      <c r="K6" s="224">
        <v>119.3301</v>
      </c>
      <c r="L6" s="224">
        <v>118.179</v>
      </c>
      <c r="M6" s="224">
        <v>125.38799999999999</v>
      </c>
      <c r="N6" s="224">
        <v>124.228</v>
      </c>
      <c r="O6" s="224">
        <v>126.67869999999999</v>
      </c>
      <c r="P6" s="224">
        <v>133.0403</v>
      </c>
      <c r="Q6" s="224">
        <v>128.44559999999998</v>
      </c>
      <c r="R6" s="224">
        <v>130.3528</v>
      </c>
      <c r="S6" s="224">
        <v>131.7443606</v>
      </c>
      <c r="T6" s="224">
        <v>136.4435038</v>
      </c>
      <c r="U6" s="224">
        <v>135.51124979999997</v>
      </c>
      <c r="V6" s="224">
        <v>130.28517599999998</v>
      </c>
      <c r="W6" s="224">
        <v>125.1525174</v>
      </c>
      <c r="X6" s="224">
        <v>119.25319999999999</v>
      </c>
      <c r="Y6" s="224">
        <v>120.55930000000001</v>
      </c>
      <c r="Z6" s="224">
        <v>118.55142080123264</v>
      </c>
      <c r="AA6" s="968">
        <v>-1.665470186677731</v>
      </c>
      <c r="AB6" s="389" t="s">
        <v>161</v>
      </c>
    </row>
    <row r="7" spans="2:28" ht="12.75">
      <c r="B7" s="154" t="s">
        <v>162</v>
      </c>
      <c r="C7" s="983">
        <v>63.736999999999995</v>
      </c>
      <c r="D7" s="983">
        <v>84.88300000000001</v>
      </c>
      <c r="E7" s="984">
        <v>71.698</v>
      </c>
      <c r="F7" s="984">
        <v>78.92500000000001</v>
      </c>
      <c r="G7" s="984">
        <v>80.76199999999999</v>
      </c>
      <c r="H7" s="984">
        <v>82.181</v>
      </c>
      <c r="I7" s="984">
        <v>83.14699999999999</v>
      </c>
      <c r="J7" s="984">
        <v>80.189</v>
      </c>
      <c r="K7" s="984">
        <v>82.18900000000001</v>
      </c>
      <c r="L7" s="984">
        <v>82.215</v>
      </c>
      <c r="M7" s="984">
        <v>85.29</v>
      </c>
      <c r="N7" s="984">
        <v>84.852</v>
      </c>
      <c r="O7" s="984">
        <v>86.155</v>
      </c>
      <c r="P7" s="227">
        <v>88.553</v>
      </c>
      <c r="Q7" s="227">
        <v>86.70100000000001</v>
      </c>
      <c r="R7" s="227">
        <v>87.139</v>
      </c>
      <c r="S7" s="227">
        <v>87.57896059999999</v>
      </c>
      <c r="T7" s="227">
        <v>90.46450379999999</v>
      </c>
      <c r="U7" s="227">
        <v>90.3095498</v>
      </c>
      <c r="V7" s="227">
        <v>90.394576</v>
      </c>
      <c r="W7" s="227">
        <v>89.822</v>
      </c>
      <c r="X7" s="227">
        <v>82.996</v>
      </c>
      <c r="Y7" s="227">
        <v>82.238</v>
      </c>
      <c r="Z7" s="227">
        <v>81.1865</v>
      </c>
      <c r="AA7" s="969">
        <v>-1.2786059972275665</v>
      </c>
      <c r="AB7" s="391" t="s">
        <v>162</v>
      </c>
    </row>
    <row r="8" spans="2:28" ht="12.75">
      <c r="B8" s="156" t="s">
        <v>163</v>
      </c>
      <c r="C8" s="285"/>
      <c r="D8" s="285"/>
      <c r="E8" s="230"/>
      <c r="F8" s="230"/>
      <c r="G8" s="230"/>
      <c r="H8" s="230"/>
      <c r="I8" s="230">
        <v>32.34100000000001</v>
      </c>
      <c r="J8" s="230">
        <v>34.7183</v>
      </c>
      <c r="K8" s="230">
        <v>37.141099999999994</v>
      </c>
      <c r="L8" s="230">
        <v>35.964</v>
      </c>
      <c r="M8" s="230">
        <v>40.097999999999985</v>
      </c>
      <c r="N8" s="230">
        <v>39.37599999999999</v>
      </c>
      <c r="O8" s="230">
        <v>40.52369999999999</v>
      </c>
      <c r="P8" s="230">
        <v>44.487300000000005</v>
      </c>
      <c r="Q8" s="230">
        <v>41.74459999999998</v>
      </c>
      <c r="R8" s="230">
        <v>43.213800000000006</v>
      </c>
      <c r="S8" s="230">
        <v>44.165400000000005</v>
      </c>
      <c r="T8" s="230">
        <v>45.97900000000001</v>
      </c>
      <c r="U8" s="230">
        <v>45.201699999999974</v>
      </c>
      <c r="V8" s="230">
        <v>39.89059999999998</v>
      </c>
      <c r="W8" s="230">
        <v>35.33051739999999</v>
      </c>
      <c r="X8" s="230">
        <v>36.2572</v>
      </c>
      <c r="Y8" s="230">
        <v>38.32130000000001</v>
      </c>
      <c r="Z8" s="230">
        <v>37.36492080123264</v>
      </c>
      <c r="AA8" s="970">
        <v>-2.4956856859432386</v>
      </c>
      <c r="AB8" s="156" t="s">
        <v>163</v>
      </c>
    </row>
    <row r="9" spans="2:28" ht="12.75">
      <c r="B9" s="107" t="s">
        <v>61</v>
      </c>
      <c r="C9" s="286">
        <v>0.27</v>
      </c>
      <c r="D9" s="286">
        <v>1.802</v>
      </c>
      <c r="E9" s="240">
        <v>1.024</v>
      </c>
      <c r="F9" s="240">
        <v>1.13</v>
      </c>
      <c r="G9" s="240">
        <v>1.168</v>
      </c>
      <c r="H9" s="240">
        <v>1.263</v>
      </c>
      <c r="I9" s="240">
        <v>1.37</v>
      </c>
      <c r="J9" s="240">
        <v>1.37</v>
      </c>
      <c r="K9" s="240">
        <v>1.45</v>
      </c>
      <c r="L9" s="240">
        <v>1.526</v>
      </c>
      <c r="M9" s="240">
        <v>1.57</v>
      </c>
      <c r="N9" s="240">
        <v>1.577</v>
      </c>
      <c r="O9" s="240">
        <v>1.624</v>
      </c>
      <c r="P9" s="233">
        <v>1.544</v>
      </c>
      <c r="Q9" s="233">
        <v>1.511</v>
      </c>
      <c r="R9" s="233">
        <v>1.518</v>
      </c>
      <c r="S9" s="233">
        <v>1.533</v>
      </c>
      <c r="T9" s="233">
        <v>1.517</v>
      </c>
      <c r="U9" s="233">
        <v>1.572</v>
      </c>
      <c r="V9" s="233">
        <v>1.572</v>
      </c>
      <c r="W9" s="233">
        <v>1.494</v>
      </c>
      <c r="X9" s="233">
        <v>1.45</v>
      </c>
      <c r="Y9" s="233">
        <v>1.45</v>
      </c>
      <c r="Z9" s="985">
        <v>1.4646666666666668</v>
      </c>
      <c r="AA9" s="287">
        <v>1.0114942528735682</v>
      </c>
      <c r="AB9" s="110" t="s">
        <v>61</v>
      </c>
    </row>
    <row r="10" spans="2:28" ht="12.75">
      <c r="B10" s="154" t="s">
        <v>102</v>
      </c>
      <c r="C10" s="288">
        <v>0</v>
      </c>
      <c r="D10" s="288">
        <v>0.75</v>
      </c>
      <c r="E10" s="235">
        <v>0.64</v>
      </c>
      <c r="F10" s="235">
        <v>0.454</v>
      </c>
      <c r="G10" s="235">
        <v>0.259</v>
      </c>
      <c r="H10" s="235">
        <v>0.3</v>
      </c>
      <c r="I10" s="235">
        <v>0.36</v>
      </c>
      <c r="J10" s="235">
        <v>0.41</v>
      </c>
      <c r="K10" s="235">
        <v>0.36</v>
      </c>
      <c r="L10" s="235">
        <v>0.26</v>
      </c>
      <c r="M10" s="235">
        <v>0.244</v>
      </c>
      <c r="N10" s="235">
        <v>0.33</v>
      </c>
      <c r="O10" s="235">
        <v>0.379</v>
      </c>
      <c r="P10" s="235">
        <v>0.339</v>
      </c>
      <c r="Q10" s="235">
        <v>0.286</v>
      </c>
      <c r="R10" s="235">
        <v>0.282</v>
      </c>
      <c r="S10" s="235">
        <v>0.274</v>
      </c>
      <c r="T10" s="235">
        <v>0.352</v>
      </c>
      <c r="U10" s="235">
        <v>0.3566</v>
      </c>
      <c r="V10" s="235">
        <v>0.4196</v>
      </c>
      <c r="W10" s="235">
        <v>0.4198</v>
      </c>
      <c r="X10" s="235">
        <v>0.4365</v>
      </c>
      <c r="Y10" s="235">
        <v>0.4145</v>
      </c>
      <c r="Z10" s="235">
        <v>0.4808</v>
      </c>
      <c r="AA10" s="303">
        <v>15.995174909529553</v>
      </c>
      <c r="AB10" s="154" t="s">
        <v>102</v>
      </c>
    </row>
    <row r="11" spans="2:28" ht="12.75">
      <c r="B11" s="107" t="s">
        <v>62</v>
      </c>
      <c r="C11" s="304"/>
      <c r="D11" s="304"/>
      <c r="E11" s="238"/>
      <c r="F11" s="238"/>
      <c r="G11" s="238"/>
      <c r="H11" s="238">
        <v>1.98</v>
      </c>
      <c r="I11" s="238">
        <v>2.18</v>
      </c>
      <c r="J11" s="238">
        <v>2.276</v>
      </c>
      <c r="K11" s="238">
        <v>2.27</v>
      </c>
      <c r="L11" s="238">
        <v>2.11</v>
      </c>
      <c r="M11" s="238">
        <v>2.078</v>
      </c>
      <c r="N11" s="238">
        <v>1.795</v>
      </c>
      <c r="O11" s="238">
        <v>1.612</v>
      </c>
      <c r="P11" s="238">
        <v>1.661</v>
      </c>
      <c r="Q11" s="238">
        <v>1.717</v>
      </c>
      <c r="R11" s="238">
        <v>1.82</v>
      </c>
      <c r="S11" s="238">
        <v>1.902</v>
      </c>
      <c r="T11" s="238">
        <v>2.259</v>
      </c>
      <c r="U11" s="238">
        <v>2.291</v>
      </c>
      <c r="V11" s="238">
        <v>2.079</v>
      </c>
      <c r="W11" s="238">
        <v>2.315</v>
      </c>
      <c r="X11" s="238">
        <v>2.156</v>
      </c>
      <c r="Y11" s="238">
        <v>2.191</v>
      </c>
      <c r="Z11" s="238">
        <v>1.9537</v>
      </c>
      <c r="AA11" s="316">
        <v>-10.830670926517561</v>
      </c>
      <c r="AB11" s="107" t="s">
        <v>62</v>
      </c>
    </row>
    <row r="12" spans="2:28" ht="12.75">
      <c r="B12" s="154" t="s">
        <v>14</v>
      </c>
      <c r="C12" s="288"/>
      <c r="D12" s="288"/>
      <c r="E12" s="235">
        <v>2.016</v>
      </c>
      <c r="F12" s="235">
        <v>2.361</v>
      </c>
      <c r="G12" s="235">
        <v>2.624</v>
      </c>
      <c r="H12" s="235">
        <v>2.797</v>
      </c>
      <c r="I12" s="235">
        <v>3.087</v>
      </c>
      <c r="J12" s="235">
        <v>3.109</v>
      </c>
      <c r="K12" s="235">
        <v>3.461</v>
      </c>
      <c r="L12" s="235">
        <v>3.823</v>
      </c>
      <c r="M12" s="235">
        <v>3.921</v>
      </c>
      <c r="N12" s="235">
        <v>4.271</v>
      </c>
      <c r="O12" s="235">
        <v>4.69</v>
      </c>
      <c r="P12" s="235">
        <v>4.695</v>
      </c>
      <c r="Q12" s="235">
        <v>5.103</v>
      </c>
      <c r="R12" s="235">
        <v>5.154</v>
      </c>
      <c r="S12" s="235">
        <v>5.254</v>
      </c>
      <c r="T12" s="235">
        <v>5.125</v>
      </c>
      <c r="U12" s="235">
        <v>4.872</v>
      </c>
      <c r="V12" s="235">
        <v>4.627</v>
      </c>
      <c r="W12" s="235">
        <v>4.209</v>
      </c>
      <c r="X12" s="235">
        <v>3.895</v>
      </c>
      <c r="Y12" s="235">
        <v>3.476</v>
      </c>
      <c r="Z12" s="235">
        <v>3.265</v>
      </c>
      <c r="AA12" s="303">
        <v>-6.0701956271576485</v>
      </c>
      <c r="AB12" s="154" t="s">
        <v>14</v>
      </c>
    </row>
    <row r="13" spans="2:28" ht="12.75">
      <c r="B13" s="107" t="s">
        <v>64</v>
      </c>
      <c r="C13" s="304">
        <v>16.9</v>
      </c>
      <c r="D13" s="304">
        <v>14.3</v>
      </c>
      <c r="E13" s="306">
        <v>13.3</v>
      </c>
      <c r="F13" s="238">
        <v>15.7</v>
      </c>
      <c r="G13" s="238">
        <v>15.7</v>
      </c>
      <c r="H13" s="238">
        <v>16.1</v>
      </c>
      <c r="I13" s="306">
        <v>16.8</v>
      </c>
      <c r="J13" s="238">
        <v>14.757</v>
      </c>
      <c r="K13" s="238">
        <v>14.5</v>
      </c>
      <c r="L13" s="238">
        <v>13.151</v>
      </c>
      <c r="M13" s="238">
        <v>14.849</v>
      </c>
      <c r="N13" s="238">
        <v>14.966</v>
      </c>
      <c r="O13" s="238">
        <v>15.033</v>
      </c>
      <c r="P13" s="238">
        <v>15.761</v>
      </c>
      <c r="Q13" s="238">
        <v>15.205</v>
      </c>
      <c r="R13" s="238">
        <v>15.407</v>
      </c>
      <c r="S13" s="238">
        <v>16.236</v>
      </c>
      <c r="T13" s="238">
        <v>16.741</v>
      </c>
      <c r="U13" s="238">
        <v>15.844</v>
      </c>
      <c r="V13" s="238">
        <v>15.824</v>
      </c>
      <c r="W13" s="238">
        <v>15.67</v>
      </c>
      <c r="X13" s="238">
        <v>15.95</v>
      </c>
      <c r="Y13" s="238">
        <v>16.259</v>
      </c>
      <c r="Z13" s="238">
        <v>15.623</v>
      </c>
      <c r="AA13" s="316">
        <v>-3.911679685097491</v>
      </c>
      <c r="AB13" s="107" t="s">
        <v>64</v>
      </c>
    </row>
    <row r="14" spans="2:28" ht="12.75">
      <c r="B14" s="154" t="s">
        <v>65</v>
      </c>
      <c r="C14" s="288" t="s">
        <v>158</v>
      </c>
      <c r="D14" s="288" t="s">
        <v>158</v>
      </c>
      <c r="E14" s="235" t="s">
        <v>158</v>
      </c>
      <c r="F14" s="235" t="s">
        <v>158</v>
      </c>
      <c r="G14" s="235" t="s">
        <v>158</v>
      </c>
      <c r="H14" s="235" t="s">
        <v>158</v>
      </c>
      <c r="I14" s="235" t="s">
        <v>158</v>
      </c>
      <c r="J14" s="235" t="s">
        <v>158</v>
      </c>
      <c r="K14" s="235" t="s">
        <v>158</v>
      </c>
      <c r="L14" s="235" t="s">
        <v>158</v>
      </c>
      <c r="M14" s="235" t="s">
        <v>158</v>
      </c>
      <c r="N14" s="235" t="s">
        <v>158</v>
      </c>
      <c r="O14" s="235" t="s">
        <v>158</v>
      </c>
      <c r="P14" s="235" t="s">
        <v>158</v>
      </c>
      <c r="Q14" s="235" t="s">
        <v>158</v>
      </c>
      <c r="R14" s="235" t="s">
        <v>158</v>
      </c>
      <c r="S14" s="235" t="s">
        <v>158</v>
      </c>
      <c r="T14" s="235" t="s">
        <v>158</v>
      </c>
      <c r="U14" s="235" t="s">
        <v>158</v>
      </c>
      <c r="V14" s="235" t="s">
        <v>158</v>
      </c>
      <c r="W14" s="235" t="s">
        <v>158</v>
      </c>
      <c r="X14" s="235" t="s">
        <v>158</v>
      </c>
      <c r="Y14" s="235" t="s">
        <v>158</v>
      </c>
      <c r="Z14" s="235" t="s">
        <v>158</v>
      </c>
      <c r="AA14" s="303"/>
      <c r="AB14" s="154" t="s">
        <v>65</v>
      </c>
    </row>
    <row r="15" spans="2:28" ht="12.75">
      <c r="B15" s="107" t="s">
        <v>69</v>
      </c>
      <c r="C15" s="286" t="s">
        <v>158</v>
      </c>
      <c r="D15" s="286" t="s">
        <v>158</v>
      </c>
      <c r="E15" s="240" t="s">
        <v>158</v>
      </c>
      <c r="F15" s="240" t="s">
        <v>158</v>
      </c>
      <c r="G15" s="240" t="s">
        <v>158</v>
      </c>
      <c r="H15" s="240" t="s">
        <v>158</v>
      </c>
      <c r="I15" s="240" t="s">
        <v>158</v>
      </c>
      <c r="J15" s="240" t="s">
        <v>158</v>
      </c>
      <c r="K15" s="240" t="s">
        <v>158</v>
      </c>
      <c r="L15" s="240" t="s">
        <v>158</v>
      </c>
      <c r="M15" s="240" t="s">
        <v>158</v>
      </c>
      <c r="N15" s="240" t="s">
        <v>158</v>
      </c>
      <c r="O15" s="240" t="s">
        <v>158</v>
      </c>
      <c r="P15" s="240" t="s">
        <v>158</v>
      </c>
      <c r="Q15" s="240" t="s">
        <v>158</v>
      </c>
      <c r="R15" s="240" t="s">
        <v>158</v>
      </c>
      <c r="S15" s="240" t="s">
        <v>158</v>
      </c>
      <c r="T15" s="240" t="s">
        <v>158</v>
      </c>
      <c r="U15" s="240" t="s">
        <v>158</v>
      </c>
      <c r="V15" s="240" t="s">
        <v>158</v>
      </c>
      <c r="W15" s="240" t="s">
        <v>158</v>
      </c>
      <c r="X15" s="240" t="s">
        <v>158</v>
      </c>
      <c r="Y15" s="240" t="s">
        <v>158</v>
      </c>
      <c r="Z15" s="240" t="s">
        <v>158</v>
      </c>
      <c r="AA15" s="302"/>
      <c r="AB15" s="107" t="s">
        <v>69</v>
      </c>
    </row>
    <row r="16" spans="2:28" ht="12.75">
      <c r="B16" s="154" t="s">
        <v>15</v>
      </c>
      <c r="C16" s="288" t="s">
        <v>158</v>
      </c>
      <c r="D16" s="288" t="s">
        <v>158</v>
      </c>
      <c r="E16" s="235" t="s">
        <v>158</v>
      </c>
      <c r="F16" s="235" t="s">
        <v>158</v>
      </c>
      <c r="G16" s="235" t="s">
        <v>158</v>
      </c>
      <c r="H16" s="235" t="s">
        <v>158</v>
      </c>
      <c r="I16" s="235" t="s">
        <v>158</v>
      </c>
      <c r="J16" s="235" t="s">
        <v>158</v>
      </c>
      <c r="K16" s="235" t="s">
        <v>158</v>
      </c>
      <c r="L16" s="235" t="s">
        <v>158</v>
      </c>
      <c r="M16" s="235" t="s">
        <v>158</v>
      </c>
      <c r="N16" s="235" t="s">
        <v>158</v>
      </c>
      <c r="O16" s="235" t="s">
        <v>158</v>
      </c>
      <c r="P16" s="235" t="s">
        <v>158</v>
      </c>
      <c r="Q16" s="234">
        <v>0.02</v>
      </c>
      <c r="R16" s="234">
        <v>0.06</v>
      </c>
      <c r="S16" s="234">
        <v>0.197</v>
      </c>
      <c r="T16" s="234">
        <v>0.229</v>
      </c>
      <c r="U16" s="234">
        <v>0.253</v>
      </c>
      <c r="V16" s="234">
        <v>0.254</v>
      </c>
      <c r="W16" s="234">
        <v>0.254</v>
      </c>
      <c r="X16" s="234">
        <v>0.22</v>
      </c>
      <c r="Y16" s="234">
        <v>0.22</v>
      </c>
      <c r="Z16" s="234">
        <v>0.2313333333333333</v>
      </c>
      <c r="AA16" s="289">
        <v>5.151515151515129</v>
      </c>
      <c r="AB16" s="154" t="s">
        <v>15</v>
      </c>
    </row>
    <row r="17" spans="2:28" ht="12.75">
      <c r="B17" s="107" t="s">
        <v>67</v>
      </c>
      <c r="C17" s="286">
        <v>1.023</v>
      </c>
      <c r="D17" s="286">
        <v>3.005</v>
      </c>
      <c r="E17" s="240">
        <v>4.215</v>
      </c>
      <c r="F17" s="240">
        <v>4.78</v>
      </c>
      <c r="G17" s="240">
        <v>5.266</v>
      </c>
      <c r="H17" s="240">
        <v>5.409</v>
      </c>
      <c r="I17" s="240">
        <v>5.479</v>
      </c>
      <c r="J17" s="240">
        <v>5.887</v>
      </c>
      <c r="K17" s="240">
        <v>6.113</v>
      </c>
      <c r="L17" s="240">
        <v>6.534</v>
      </c>
      <c r="M17" s="240">
        <v>6.872</v>
      </c>
      <c r="N17" s="240">
        <v>7.031</v>
      </c>
      <c r="O17" s="240">
        <v>7.466</v>
      </c>
      <c r="P17" s="240">
        <v>7.763</v>
      </c>
      <c r="Q17" s="240">
        <v>7.803</v>
      </c>
      <c r="R17" s="240">
        <v>7.319</v>
      </c>
      <c r="S17" s="238">
        <v>8.279</v>
      </c>
      <c r="T17" s="238">
        <v>9.228</v>
      </c>
      <c r="U17" s="238">
        <v>9.224</v>
      </c>
      <c r="V17" s="238">
        <v>8.936</v>
      </c>
      <c r="W17" s="238">
        <v>9.141</v>
      </c>
      <c r="X17" s="238">
        <v>8.23</v>
      </c>
      <c r="Y17" s="238">
        <v>8.182</v>
      </c>
      <c r="Z17" s="238">
        <v>8.601</v>
      </c>
      <c r="AA17" s="302">
        <v>5.120997311170861</v>
      </c>
      <c r="AB17" s="107" t="s">
        <v>67</v>
      </c>
    </row>
    <row r="18" spans="2:28" ht="12.75">
      <c r="B18" s="154" t="s">
        <v>68</v>
      </c>
      <c r="C18" s="288">
        <v>28.184</v>
      </c>
      <c r="D18" s="288">
        <v>34.6</v>
      </c>
      <c r="E18" s="235">
        <v>19.6</v>
      </c>
      <c r="F18" s="235">
        <v>22.5</v>
      </c>
      <c r="G18" s="235">
        <v>23.4</v>
      </c>
      <c r="H18" s="235">
        <v>23.3</v>
      </c>
      <c r="I18" s="235">
        <v>22.2</v>
      </c>
      <c r="J18" s="235">
        <v>22.272</v>
      </c>
      <c r="K18" s="235">
        <v>21.909</v>
      </c>
      <c r="L18" s="235">
        <v>22.089</v>
      </c>
      <c r="M18" s="235">
        <v>21.581</v>
      </c>
      <c r="N18" s="235">
        <v>21.322</v>
      </c>
      <c r="O18" s="235">
        <v>21.669</v>
      </c>
      <c r="P18" s="235">
        <v>22.14</v>
      </c>
      <c r="Q18" s="235">
        <v>20.954</v>
      </c>
      <c r="R18" s="235">
        <v>22.147</v>
      </c>
      <c r="S18" s="235">
        <v>20.559</v>
      </c>
      <c r="T18" s="235">
        <v>21.218</v>
      </c>
      <c r="U18" s="235">
        <v>22.4</v>
      </c>
      <c r="V18" s="235">
        <v>24.278</v>
      </c>
      <c r="W18" s="235">
        <v>22.4</v>
      </c>
      <c r="X18" s="235">
        <v>18.4</v>
      </c>
      <c r="Y18" s="235">
        <v>17.7</v>
      </c>
      <c r="Z18" s="235">
        <v>18.1</v>
      </c>
      <c r="AA18" s="303">
        <v>2.259887005649719</v>
      </c>
      <c r="AB18" s="154" t="s">
        <v>68</v>
      </c>
    </row>
    <row r="19" spans="2:28" ht="12.75">
      <c r="B19" s="107" t="s">
        <v>70</v>
      </c>
      <c r="C19" s="304">
        <v>7</v>
      </c>
      <c r="D19" s="304">
        <v>9</v>
      </c>
      <c r="E19" s="238">
        <v>9.2</v>
      </c>
      <c r="F19" s="238">
        <v>9.3</v>
      </c>
      <c r="G19" s="238">
        <v>9.4</v>
      </c>
      <c r="H19" s="238">
        <v>9.5</v>
      </c>
      <c r="I19" s="238">
        <v>9.6</v>
      </c>
      <c r="J19" s="238">
        <v>9.65</v>
      </c>
      <c r="K19" s="238">
        <v>10.1</v>
      </c>
      <c r="L19" s="238">
        <v>9.797</v>
      </c>
      <c r="M19" s="238">
        <v>10.624</v>
      </c>
      <c r="N19" s="238">
        <v>10.409</v>
      </c>
      <c r="O19" s="238">
        <v>10.317</v>
      </c>
      <c r="P19" s="238">
        <v>10.69</v>
      </c>
      <c r="Q19" s="238">
        <v>10.692</v>
      </c>
      <c r="R19" s="238">
        <v>10.656</v>
      </c>
      <c r="S19" s="238">
        <v>10.699</v>
      </c>
      <c r="T19" s="238">
        <v>11.423</v>
      </c>
      <c r="U19" s="238">
        <v>11.447</v>
      </c>
      <c r="V19" s="238">
        <v>11.388</v>
      </c>
      <c r="W19" s="238">
        <v>11.266</v>
      </c>
      <c r="X19" s="238">
        <v>10.497</v>
      </c>
      <c r="Y19" s="238">
        <v>11.143</v>
      </c>
      <c r="Z19" s="238">
        <v>9.952</v>
      </c>
      <c r="AA19" s="316">
        <v>-10.688324508660152</v>
      </c>
      <c r="AB19" s="107" t="s">
        <v>70</v>
      </c>
    </row>
    <row r="20" spans="2:28" ht="12.75">
      <c r="B20" s="154" t="s">
        <v>72</v>
      </c>
      <c r="C20" s="288" t="s">
        <v>158</v>
      </c>
      <c r="D20" s="288" t="s">
        <v>158</v>
      </c>
      <c r="E20" s="235" t="s">
        <v>158</v>
      </c>
      <c r="F20" s="235" t="s">
        <v>158</v>
      </c>
      <c r="G20" s="235" t="s">
        <v>158</v>
      </c>
      <c r="H20" s="235" t="s">
        <v>158</v>
      </c>
      <c r="I20" s="235" t="s">
        <v>158</v>
      </c>
      <c r="J20" s="235" t="s">
        <v>158</v>
      </c>
      <c r="K20" s="235" t="s">
        <v>158</v>
      </c>
      <c r="L20" s="235" t="s">
        <v>158</v>
      </c>
      <c r="M20" s="235" t="s">
        <v>158</v>
      </c>
      <c r="N20" s="235" t="s">
        <v>158</v>
      </c>
      <c r="O20" s="235" t="s">
        <v>158</v>
      </c>
      <c r="P20" s="235" t="s">
        <v>158</v>
      </c>
      <c r="Q20" s="235" t="s">
        <v>158</v>
      </c>
      <c r="R20" s="235" t="s">
        <v>158</v>
      </c>
      <c r="S20" s="235" t="s">
        <v>158</v>
      </c>
      <c r="T20" s="235" t="s">
        <v>158</v>
      </c>
      <c r="U20" s="235" t="s">
        <v>158</v>
      </c>
      <c r="V20" s="235" t="s">
        <v>158</v>
      </c>
      <c r="W20" s="235" t="s">
        <v>158</v>
      </c>
      <c r="X20" s="235" t="s">
        <v>158</v>
      </c>
      <c r="Y20" s="235" t="s">
        <v>158</v>
      </c>
      <c r="Z20" s="235" t="s">
        <v>158</v>
      </c>
      <c r="AA20" s="303"/>
      <c r="AB20" s="154" t="s">
        <v>72</v>
      </c>
    </row>
    <row r="21" spans="2:28" ht="12.75">
      <c r="B21" s="107" t="s">
        <v>73</v>
      </c>
      <c r="C21" s="304" t="s">
        <v>334</v>
      </c>
      <c r="D21" s="304" t="s">
        <v>334</v>
      </c>
      <c r="E21" s="238" t="s">
        <v>334</v>
      </c>
      <c r="F21" s="238" t="s">
        <v>334</v>
      </c>
      <c r="G21" s="238" t="s">
        <v>334</v>
      </c>
      <c r="H21" s="238" t="s">
        <v>335</v>
      </c>
      <c r="I21" s="238">
        <v>4.6</v>
      </c>
      <c r="J21" s="238">
        <v>5.316</v>
      </c>
      <c r="K21" s="238">
        <v>6.06</v>
      </c>
      <c r="L21" s="238">
        <v>6.362</v>
      </c>
      <c r="M21" s="238">
        <v>6.569</v>
      </c>
      <c r="N21" s="238">
        <v>6.055</v>
      </c>
      <c r="O21" s="238">
        <v>6.467</v>
      </c>
      <c r="P21" s="238">
        <v>7.524</v>
      </c>
      <c r="Q21" s="238">
        <v>5.071</v>
      </c>
      <c r="R21" s="238">
        <v>3.15</v>
      </c>
      <c r="S21" s="238">
        <v>3.252</v>
      </c>
      <c r="T21" s="238">
        <v>3.381</v>
      </c>
      <c r="U21" s="238">
        <v>3.628</v>
      </c>
      <c r="V21" s="238">
        <v>2.711</v>
      </c>
      <c r="W21" s="238">
        <v>2.097</v>
      </c>
      <c r="X21" s="238">
        <v>1.573</v>
      </c>
      <c r="Y21" s="238">
        <v>2.35</v>
      </c>
      <c r="Z21" s="238">
        <v>2.439</v>
      </c>
      <c r="AA21" s="316">
        <v>3.787234042553189</v>
      </c>
      <c r="AB21" s="107" t="s">
        <v>73</v>
      </c>
    </row>
    <row r="22" spans="2:28" ht="12.75">
      <c r="B22" s="154" t="s">
        <v>74</v>
      </c>
      <c r="C22" s="288" t="s">
        <v>334</v>
      </c>
      <c r="D22" s="288" t="s">
        <v>334</v>
      </c>
      <c r="E22" s="235" t="s">
        <v>334</v>
      </c>
      <c r="F22" s="235" t="s">
        <v>334</v>
      </c>
      <c r="G22" s="235" t="s">
        <v>334</v>
      </c>
      <c r="H22" s="235">
        <v>2</v>
      </c>
      <c r="I22" s="235">
        <v>1.9</v>
      </c>
      <c r="J22" s="235">
        <v>2.006</v>
      </c>
      <c r="K22" s="235">
        <v>2.308</v>
      </c>
      <c r="L22" s="235">
        <v>2.656</v>
      </c>
      <c r="M22" s="235">
        <v>2.964</v>
      </c>
      <c r="N22" s="235">
        <v>2.627</v>
      </c>
      <c r="O22" s="235">
        <v>3.4566999999999997</v>
      </c>
      <c r="P22" s="235">
        <v>4.7796</v>
      </c>
      <c r="Q22" s="235">
        <v>4.8916</v>
      </c>
      <c r="R22" s="235">
        <v>5.0848</v>
      </c>
      <c r="S22" s="235">
        <v>4.2874</v>
      </c>
      <c r="T22" s="235">
        <v>4.406</v>
      </c>
      <c r="U22" s="235">
        <v>2.67</v>
      </c>
      <c r="V22" s="235">
        <v>1.032</v>
      </c>
      <c r="W22" s="235">
        <v>0.527</v>
      </c>
      <c r="X22" s="235">
        <v>0.4103</v>
      </c>
      <c r="Y22" s="235">
        <v>0.5786</v>
      </c>
      <c r="Z22" s="235">
        <v>0.5913999999999999</v>
      </c>
      <c r="AA22" s="303">
        <v>2.2122364327687327</v>
      </c>
      <c r="AB22" s="154" t="s">
        <v>74</v>
      </c>
    </row>
    <row r="23" spans="2:28" ht="12.75">
      <c r="B23" s="107" t="s">
        <v>77</v>
      </c>
      <c r="C23" s="304" t="s">
        <v>158</v>
      </c>
      <c r="D23" s="304" t="s">
        <v>158</v>
      </c>
      <c r="E23" s="238" t="s">
        <v>158</v>
      </c>
      <c r="F23" s="238" t="s">
        <v>158</v>
      </c>
      <c r="G23" s="238" t="s">
        <v>158</v>
      </c>
      <c r="H23" s="238" t="s">
        <v>158</v>
      </c>
      <c r="I23" s="238" t="s">
        <v>158</v>
      </c>
      <c r="J23" s="238" t="s">
        <v>158</v>
      </c>
      <c r="K23" s="238" t="s">
        <v>158</v>
      </c>
      <c r="L23" s="238" t="s">
        <v>158</v>
      </c>
      <c r="M23" s="238" t="s">
        <v>158</v>
      </c>
      <c r="N23" s="238" t="s">
        <v>158</v>
      </c>
      <c r="O23" s="238" t="s">
        <v>158</v>
      </c>
      <c r="P23" s="238" t="s">
        <v>158</v>
      </c>
      <c r="Q23" s="238" t="s">
        <v>158</v>
      </c>
      <c r="R23" s="238" t="s">
        <v>158</v>
      </c>
      <c r="S23" s="238" t="s">
        <v>158</v>
      </c>
      <c r="T23" s="238" t="s">
        <v>158</v>
      </c>
      <c r="U23" s="238" t="s">
        <v>158</v>
      </c>
      <c r="V23" s="238" t="s">
        <v>158</v>
      </c>
      <c r="W23" s="238" t="s">
        <v>158</v>
      </c>
      <c r="X23" s="238" t="s">
        <v>158</v>
      </c>
      <c r="Y23" s="238" t="s">
        <v>158</v>
      </c>
      <c r="Z23" s="238" t="s">
        <v>158</v>
      </c>
      <c r="AA23" s="316"/>
      <c r="AB23" s="107" t="s">
        <v>77</v>
      </c>
    </row>
    <row r="24" spans="2:28" ht="12.75">
      <c r="B24" s="154" t="s">
        <v>78</v>
      </c>
      <c r="C24" s="288" t="s">
        <v>100</v>
      </c>
      <c r="D24" s="288" t="s">
        <v>100</v>
      </c>
      <c r="E24" s="235">
        <v>5.287</v>
      </c>
      <c r="F24" s="235" t="s">
        <v>100</v>
      </c>
      <c r="G24" s="235" t="s">
        <v>100</v>
      </c>
      <c r="H24" s="235" t="s">
        <v>100</v>
      </c>
      <c r="I24" s="235" t="s">
        <v>100</v>
      </c>
      <c r="J24" s="235">
        <v>2.1813</v>
      </c>
      <c r="K24" s="235">
        <v>2.3511</v>
      </c>
      <c r="L24" s="235">
        <v>1.81</v>
      </c>
      <c r="M24" s="235">
        <v>1.937</v>
      </c>
      <c r="N24" s="235">
        <v>2.316</v>
      </c>
      <c r="O24" s="235">
        <v>2.263</v>
      </c>
      <c r="P24" s="235">
        <v>2.521</v>
      </c>
      <c r="Q24" s="235">
        <v>2.445</v>
      </c>
      <c r="R24" s="235">
        <v>2.416</v>
      </c>
      <c r="S24" s="235">
        <v>2.546</v>
      </c>
      <c r="T24" s="235">
        <v>2.683</v>
      </c>
      <c r="U24" s="235">
        <v>3.041</v>
      </c>
      <c r="V24" s="235">
        <v>2.987</v>
      </c>
      <c r="W24" s="235">
        <v>2.9747</v>
      </c>
      <c r="X24" s="235">
        <v>3.0104</v>
      </c>
      <c r="Y24" s="235">
        <v>3.2137</v>
      </c>
      <c r="Z24" s="235">
        <v>3.119</v>
      </c>
      <c r="AA24" s="303">
        <v>-2.946759187229664</v>
      </c>
      <c r="AB24" s="154" t="s">
        <v>78</v>
      </c>
    </row>
    <row r="25" spans="2:28" ht="12.75">
      <c r="B25" s="107" t="s">
        <v>79</v>
      </c>
      <c r="C25" s="304" t="s">
        <v>158</v>
      </c>
      <c r="D25" s="304" t="s">
        <v>158</v>
      </c>
      <c r="E25" s="238" t="s">
        <v>158</v>
      </c>
      <c r="F25" s="238" t="s">
        <v>158</v>
      </c>
      <c r="G25" s="238" t="s">
        <v>158</v>
      </c>
      <c r="H25" s="238" t="s">
        <v>158</v>
      </c>
      <c r="I25" s="238" t="s">
        <v>158</v>
      </c>
      <c r="J25" s="238" t="s">
        <v>158</v>
      </c>
      <c r="K25" s="238" t="s">
        <v>158</v>
      </c>
      <c r="L25" s="238" t="s">
        <v>158</v>
      </c>
      <c r="M25" s="238" t="s">
        <v>158</v>
      </c>
      <c r="N25" s="238" t="s">
        <v>158</v>
      </c>
      <c r="O25" s="238" t="s">
        <v>158</v>
      </c>
      <c r="P25" s="238" t="s">
        <v>158</v>
      </c>
      <c r="Q25" s="238" t="s">
        <v>158</v>
      </c>
      <c r="R25" s="238" t="s">
        <v>158</v>
      </c>
      <c r="S25" s="238" t="s">
        <v>158</v>
      </c>
      <c r="T25" s="238" t="s">
        <v>158</v>
      </c>
      <c r="U25" s="238" t="s">
        <v>158</v>
      </c>
      <c r="V25" s="238" t="s">
        <v>158</v>
      </c>
      <c r="W25" s="238" t="s">
        <v>158</v>
      </c>
      <c r="X25" s="238" t="s">
        <v>158</v>
      </c>
      <c r="Y25" s="238" t="s">
        <v>158</v>
      </c>
      <c r="Z25" s="238" t="s">
        <v>158</v>
      </c>
      <c r="AA25" s="299"/>
      <c r="AB25" s="107" t="s">
        <v>79</v>
      </c>
    </row>
    <row r="26" spans="2:28" ht="12.75">
      <c r="B26" s="154" t="s">
        <v>16</v>
      </c>
      <c r="C26" s="288">
        <v>4.075</v>
      </c>
      <c r="D26" s="288">
        <v>5.044</v>
      </c>
      <c r="E26" s="235">
        <v>4.873</v>
      </c>
      <c r="F26" s="235">
        <v>5.43</v>
      </c>
      <c r="G26" s="235">
        <v>5.503</v>
      </c>
      <c r="H26" s="235">
        <v>5.491</v>
      </c>
      <c r="I26" s="235">
        <v>5.621</v>
      </c>
      <c r="J26" s="235">
        <v>5.278</v>
      </c>
      <c r="K26" s="235">
        <v>5.96</v>
      </c>
      <c r="L26" s="235">
        <v>6.04</v>
      </c>
      <c r="M26" s="235">
        <v>6.043</v>
      </c>
      <c r="N26" s="235">
        <v>6.008</v>
      </c>
      <c r="O26" s="235">
        <v>5.869</v>
      </c>
      <c r="P26" s="235">
        <v>5.827</v>
      </c>
      <c r="Q26" s="235">
        <v>6.017</v>
      </c>
      <c r="R26" s="235">
        <v>6.131</v>
      </c>
      <c r="S26" s="235">
        <v>6.09</v>
      </c>
      <c r="T26" s="235">
        <v>5.939</v>
      </c>
      <c r="U26" s="235">
        <v>5.828</v>
      </c>
      <c r="V26" s="235">
        <v>5.583</v>
      </c>
      <c r="W26" s="235">
        <v>5.967</v>
      </c>
      <c r="X26" s="235">
        <v>5.622</v>
      </c>
      <c r="Y26" s="235">
        <v>5.647</v>
      </c>
      <c r="Z26" s="235">
        <v>5.502</v>
      </c>
      <c r="AA26" s="303">
        <v>-2.567735080573763</v>
      </c>
      <c r="AB26" s="154" t="s">
        <v>16</v>
      </c>
    </row>
    <row r="27" spans="2:28" ht="12.75">
      <c r="B27" s="107" t="s">
        <v>82</v>
      </c>
      <c r="C27" s="304">
        <v>3.62</v>
      </c>
      <c r="D27" s="304">
        <v>7.054</v>
      </c>
      <c r="E27" s="238">
        <v>6.37</v>
      </c>
      <c r="F27" s="238">
        <v>6.654</v>
      </c>
      <c r="G27" s="238">
        <v>6.701</v>
      </c>
      <c r="H27" s="238">
        <v>6.721</v>
      </c>
      <c r="I27" s="238">
        <v>6.99</v>
      </c>
      <c r="J27" s="238">
        <v>6.766</v>
      </c>
      <c r="K27" s="238">
        <v>7.073</v>
      </c>
      <c r="L27" s="238">
        <v>8.02</v>
      </c>
      <c r="M27" s="238">
        <v>8.164</v>
      </c>
      <c r="N27" s="238">
        <v>7.631</v>
      </c>
      <c r="O27" s="238">
        <v>7.563</v>
      </c>
      <c r="P27" s="238">
        <v>8.071</v>
      </c>
      <c r="Q27" s="238">
        <v>7.961</v>
      </c>
      <c r="R27" s="238">
        <v>7.763</v>
      </c>
      <c r="S27" s="238">
        <v>7.571</v>
      </c>
      <c r="T27" s="238">
        <v>7.78</v>
      </c>
      <c r="U27" s="238">
        <v>7.639</v>
      </c>
      <c r="V27" s="238">
        <v>7.226</v>
      </c>
      <c r="W27" s="238">
        <v>7.521</v>
      </c>
      <c r="X27" s="238">
        <v>7.304</v>
      </c>
      <c r="Y27" s="238">
        <v>7</v>
      </c>
      <c r="Z27" s="238">
        <v>7.228</v>
      </c>
      <c r="AA27" s="316">
        <v>3.2571428571428473</v>
      </c>
      <c r="AB27" s="107" t="s">
        <v>82</v>
      </c>
    </row>
    <row r="28" spans="2:28" ht="12.75">
      <c r="B28" s="154" t="s">
        <v>81</v>
      </c>
      <c r="C28" s="288">
        <v>6.98</v>
      </c>
      <c r="D28" s="288">
        <v>17.12</v>
      </c>
      <c r="E28" s="235">
        <v>13.887</v>
      </c>
      <c r="F28" s="235">
        <v>10.39</v>
      </c>
      <c r="G28" s="235">
        <v>11.93</v>
      </c>
      <c r="H28" s="235">
        <v>12.2</v>
      </c>
      <c r="I28" s="235">
        <v>14.3</v>
      </c>
      <c r="J28" s="235">
        <v>13.493</v>
      </c>
      <c r="K28" s="235">
        <v>15.33</v>
      </c>
      <c r="L28" s="235">
        <v>14.97</v>
      </c>
      <c r="M28" s="235">
        <v>18.448</v>
      </c>
      <c r="N28" s="235">
        <v>19.417</v>
      </c>
      <c r="O28" s="235">
        <v>20.354</v>
      </c>
      <c r="P28" s="235">
        <v>21.0927</v>
      </c>
      <c r="Q28" s="235">
        <v>20.854</v>
      </c>
      <c r="R28" s="235">
        <v>23.871</v>
      </c>
      <c r="S28" s="235">
        <v>24.806</v>
      </c>
      <c r="T28" s="235">
        <v>25.388</v>
      </c>
      <c r="U28" s="235">
        <v>25.588099999999997</v>
      </c>
      <c r="V28" s="235">
        <v>23.513</v>
      </c>
      <c r="W28" s="235">
        <v>21.2473</v>
      </c>
      <c r="X28" s="235">
        <v>22.908</v>
      </c>
      <c r="Y28" s="235">
        <v>24.157</v>
      </c>
      <c r="Z28" s="235">
        <v>23.461</v>
      </c>
      <c r="AA28" s="303">
        <v>-2.881152460984404</v>
      </c>
      <c r="AB28" s="154" t="s">
        <v>81</v>
      </c>
    </row>
    <row r="29" spans="2:28" ht="12.75">
      <c r="B29" s="107" t="s">
        <v>93</v>
      </c>
      <c r="C29" s="304" t="s">
        <v>158</v>
      </c>
      <c r="D29" s="304" t="s">
        <v>158</v>
      </c>
      <c r="E29" s="238"/>
      <c r="F29" s="238" t="s">
        <v>158</v>
      </c>
      <c r="G29" s="238" t="s">
        <v>158</v>
      </c>
      <c r="H29" s="238" t="s">
        <v>158</v>
      </c>
      <c r="I29" s="238" t="s">
        <v>158</v>
      </c>
      <c r="J29" s="238" t="s">
        <v>158</v>
      </c>
      <c r="K29" s="238" t="s">
        <v>158</v>
      </c>
      <c r="L29" s="238" t="s">
        <v>158</v>
      </c>
      <c r="M29" s="238" t="s">
        <v>158</v>
      </c>
      <c r="N29" s="238" t="s">
        <v>158</v>
      </c>
      <c r="O29" s="239">
        <v>0.5</v>
      </c>
      <c r="P29" s="239">
        <v>0.5</v>
      </c>
      <c r="Q29" s="239">
        <v>0.5</v>
      </c>
      <c r="R29" s="239">
        <v>0.5</v>
      </c>
      <c r="S29" s="239">
        <v>0.5039606</v>
      </c>
      <c r="T29" s="239">
        <v>0.48450380000000004</v>
      </c>
      <c r="U29" s="239">
        <v>0.4535498</v>
      </c>
      <c r="V29" s="239">
        <v>0.477576</v>
      </c>
      <c r="W29" s="239">
        <v>0.44971740000000004</v>
      </c>
      <c r="X29" s="239">
        <v>0.413</v>
      </c>
      <c r="Y29" s="239">
        <v>0.379</v>
      </c>
      <c r="Z29" s="239">
        <v>0.36002080123266567</v>
      </c>
      <c r="AA29" s="299">
        <v>-5.007704160246529</v>
      </c>
      <c r="AB29" s="107" t="s">
        <v>93</v>
      </c>
    </row>
    <row r="30" spans="2:28" ht="12.75">
      <c r="B30" s="154" t="s">
        <v>103</v>
      </c>
      <c r="C30" s="288">
        <v>1.84</v>
      </c>
      <c r="D30" s="288">
        <v>5.19</v>
      </c>
      <c r="E30" s="235">
        <v>5.062</v>
      </c>
      <c r="F30" s="235">
        <v>3.18</v>
      </c>
      <c r="G30" s="235">
        <v>2.558</v>
      </c>
      <c r="H30" s="235">
        <v>2.471</v>
      </c>
      <c r="I30" s="235">
        <v>2.801</v>
      </c>
      <c r="J30" s="235">
        <v>2.936</v>
      </c>
      <c r="K30" s="235">
        <v>2.662</v>
      </c>
      <c r="L30" s="235">
        <v>2.296</v>
      </c>
      <c r="M30" s="235">
        <v>2.258</v>
      </c>
      <c r="N30" s="235">
        <v>1.636</v>
      </c>
      <c r="O30" s="235">
        <v>1.392</v>
      </c>
      <c r="P30" s="235">
        <v>1.77</v>
      </c>
      <c r="Q30" s="235">
        <v>1.78</v>
      </c>
      <c r="R30" s="235">
        <v>1.59</v>
      </c>
      <c r="S30" s="235">
        <v>1.898</v>
      </c>
      <c r="T30" s="235">
        <v>2.21</v>
      </c>
      <c r="U30" s="235">
        <v>2.027</v>
      </c>
      <c r="V30" s="235">
        <v>1.849</v>
      </c>
      <c r="W30" s="235">
        <v>1.72</v>
      </c>
      <c r="X30" s="235">
        <v>1.243</v>
      </c>
      <c r="Y30" s="235">
        <v>0.996</v>
      </c>
      <c r="Z30" s="234">
        <v>1.1195</v>
      </c>
      <c r="AA30" s="289">
        <v>12.399598393574296</v>
      </c>
      <c r="AB30" s="154" t="s">
        <v>103</v>
      </c>
    </row>
    <row r="31" spans="2:28" ht="12.75">
      <c r="B31" s="107" t="s">
        <v>84</v>
      </c>
      <c r="C31" s="286" t="s">
        <v>158</v>
      </c>
      <c r="D31" s="286" t="s">
        <v>158</v>
      </c>
      <c r="E31" s="240" t="s">
        <v>158</v>
      </c>
      <c r="F31" s="240" t="s">
        <v>158</v>
      </c>
      <c r="G31" s="240" t="s">
        <v>158</v>
      </c>
      <c r="H31" s="240" t="s">
        <v>158</v>
      </c>
      <c r="I31" s="240" t="s">
        <v>158</v>
      </c>
      <c r="J31" s="240" t="s">
        <v>158</v>
      </c>
      <c r="K31" s="240" t="s">
        <v>158</v>
      </c>
      <c r="L31" s="240" t="s">
        <v>158</v>
      </c>
      <c r="M31" s="240" t="s">
        <v>158</v>
      </c>
      <c r="N31" s="240" t="s">
        <v>158</v>
      </c>
      <c r="O31" s="240" t="s">
        <v>158</v>
      </c>
      <c r="P31" s="240" t="s">
        <v>158</v>
      </c>
      <c r="Q31" s="240" t="s">
        <v>158</v>
      </c>
      <c r="R31" s="240" t="s">
        <v>158</v>
      </c>
      <c r="S31" s="240" t="s">
        <v>158</v>
      </c>
      <c r="T31" s="240" t="s">
        <v>158</v>
      </c>
      <c r="U31" s="240" t="s">
        <v>158</v>
      </c>
      <c r="V31" s="240" t="s">
        <v>158</v>
      </c>
      <c r="W31" s="240" t="s">
        <v>158</v>
      </c>
      <c r="X31" s="240" t="s">
        <v>158</v>
      </c>
      <c r="Y31" s="240" t="s">
        <v>158</v>
      </c>
      <c r="Z31" s="240" t="s">
        <v>158</v>
      </c>
      <c r="AA31" s="302"/>
      <c r="AB31" s="107" t="s">
        <v>84</v>
      </c>
    </row>
    <row r="32" spans="2:28" ht="12.75">
      <c r="B32" s="154" t="s">
        <v>86</v>
      </c>
      <c r="C32" s="288"/>
      <c r="D32" s="288"/>
      <c r="E32" s="235"/>
      <c r="F32" s="235"/>
      <c r="G32" s="235"/>
      <c r="H32" s="234">
        <v>5.4</v>
      </c>
      <c r="I32" s="234">
        <v>6.2</v>
      </c>
      <c r="J32" s="234">
        <v>6.1</v>
      </c>
      <c r="K32" s="234">
        <v>5.8</v>
      </c>
      <c r="L32" s="234">
        <v>5.5</v>
      </c>
      <c r="M32" s="234">
        <v>5.6</v>
      </c>
      <c r="N32" s="234">
        <v>5.2</v>
      </c>
      <c r="O32" s="234">
        <v>4.6</v>
      </c>
      <c r="P32" s="234">
        <v>4.8</v>
      </c>
      <c r="Q32" s="234">
        <v>4.7</v>
      </c>
      <c r="R32" s="234">
        <v>5</v>
      </c>
      <c r="S32" s="234">
        <v>5.2</v>
      </c>
      <c r="T32" s="234">
        <v>5.3</v>
      </c>
      <c r="U32" s="234">
        <v>5.6</v>
      </c>
      <c r="V32" s="234">
        <v>5.3</v>
      </c>
      <c r="W32" s="234">
        <v>5.3</v>
      </c>
      <c r="X32" s="234">
        <v>5.35</v>
      </c>
      <c r="Y32" s="234">
        <v>5.0375</v>
      </c>
      <c r="Z32" s="234">
        <v>4.96</v>
      </c>
      <c r="AA32" s="289">
        <v>-1.538461538461533</v>
      </c>
      <c r="AB32" s="154" t="s">
        <v>86</v>
      </c>
    </row>
    <row r="33" spans="2:28" ht="12.75">
      <c r="B33" s="107" t="s">
        <v>88</v>
      </c>
      <c r="C33" s="286" t="s">
        <v>158</v>
      </c>
      <c r="D33" s="286" t="s">
        <v>158</v>
      </c>
      <c r="E33" s="240" t="s">
        <v>158</v>
      </c>
      <c r="F33" s="240" t="s">
        <v>158</v>
      </c>
      <c r="G33" s="240" t="s">
        <v>158</v>
      </c>
      <c r="H33" s="240" t="s">
        <v>158</v>
      </c>
      <c r="I33" s="240" t="s">
        <v>158</v>
      </c>
      <c r="J33" s="240" t="s">
        <v>158</v>
      </c>
      <c r="K33" s="240" t="s">
        <v>158</v>
      </c>
      <c r="L33" s="240" t="s">
        <v>158</v>
      </c>
      <c r="M33" s="240" t="s">
        <v>158</v>
      </c>
      <c r="N33" s="240" t="s">
        <v>158</v>
      </c>
      <c r="O33" s="240" t="s">
        <v>158</v>
      </c>
      <c r="P33" s="240" t="s">
        <v>158</v>
      </c>
      <c r="Q33" s="240" t="s">
        <v>158</v>
      </c>
      <c r="R33" s="240" t="s">
        <v>158</v>
      </c>
      <c r="S33" s="240" t="s">
        <v>158</v>
      </c>
      <c r="T33" s="240" t="s">
        <v>158</v>
      </c>
      <c r="U33" s="240" t="s">
        <v>158</v>
      </c>
      <c r="V33" s="240" t="s">
        <v>158</v>
      </c>
      <c r="W33" s="240" t="s">
        <v>158</v>
      </c>
      <c r="X33" s="240" t="s">
        <v>158</v>
      </c>
      <c r="Y33" s="240" t="s">
        <v>158</v>
      </c>
      <c r="Z33" s="240" t="s">
        <v>158</v>
      </c>
      <c r="AA33" s="302"/>
      <c r="AB33" s="107" t="s">
        <v>88</v>
      </c>
    </row>
    <row r="34" spans="2:28" ht="12.75">
      <c r="B34" s="154" t="s">
        <v>89</v>
      </c>
      <c r="C34" s="288" t="s">
        <v>158</v>
      </c>
      <c r="D34" s="288" t="s">
        <v>158</v>
      </c>
      <c r="E34" s="235" t="s">
        <v>158</v>
      </c>
      <c r="F34" s="235" t="s">
        <v>158</v>
      </c>
      <c r="G34" s="235" t="s">
        <v>158</v>
      </c>
      <c r="H34" s="235" t="s">
        <v>158</v>
      </c>
      <c r="I34" s="235" t="s">
        <v>158</v>
      </c>
      <c r="J34" s="235" t="s">
        <v>158</v>
      </c>
      <c r="K34" s="235" t="s">
        <v>158</v>
      </c>
      <c r="L34" s="235" t="s">
        <v>158</v>
      </c>
      <c r="M34" s="235" t="s">
        <v>158</v>
      </c>
      <c r="N34" s="235" t="s">
        <v>158</v>
      </c>
      <c r="O34" s="235" t="s">
        <v>158</v>
      </c>
      <c r="P34" s="235" t="s">
        <v>158</v>
      </c>
      <c r="Q34" s="235" t="s">
        <v>158</v>
      </c>
      <c r="R34" s="235" t="s">
        <v>158</v>
      </c>
      <c r="S34" s="235" t="s">
        <v>158</v>
      </c>
      <c r="T34" s="235" t="s">
        <v>158</v>
      </c>
      <c r="U34" s="235" t="s">
        <v>158</v>
      </c>
      <c r="V34" s="235" t="s">
        <v>158</v>
      </c>
      <c r="W34" s="235" t="s">
        <v>158</v>
      </c>
      <c r="X34" s="235" t="s">
        <v>158</v>
      </c>
      <c r="Y34" s="235" t="s">
        <v>158</v>
      </c>
      <c r="Z34" s="235" t="s">
        <v>158</v>
      </c>
      <c r="AA34" s="303"/>
      <c r="AB34" s="154" t="s">
        <v>89</v>
      </c>
    </row>
    <row r="35" spans="2:28" ht="12.75">
      <c r="B35" s="109" t="s">
        <v>13</v>
      </c>
      <c r="C35" s="286">
        <v>2.665</v>
      </c>
      <c r="D35" s="286">
        <v>10.078</v>
      </c>
      <c r="E35" s="240">
        <v>11.1</v>
      </c>
      <c r="F35" s="240">
        <v>11.07</v>
      </c>
      <c r="G35" s="240">
        <v>11</v>
      </c>
      <c r="H35" s="240">
        <v>11.6</v>
      </c>
      <c r="I35" s="240">
        <v>12</v>
      </c>
      <c r="J35" s="240">
        <v>11.1</v>
      </c>
      <c r="K35" s="240">
        <v>11.623</v>
      </c>
      <c r="L35" s="240">
        <v>11.235</v>
      </c>
      <c r="M35" s="240">
        <v>11.666</v>
      </c>
      <c r="N35" s="240">
        <v>11.637</v>
      </c>
      <c r="O35" s="240">
        <v>11.424</v>
      </c>
      <c r="P35" s="240">
        <v>11.562</v>
      </c>
      <c r="Q35" s="240">
        <v>10.935</v>
      </c>
      <c r="R35" s="240">
        <v>10.484</v>
      </c>
      <c r="S35" s="240">
        <v>10.657</v>
      </c>
      <c r="T35" s="240">
        <v>10.78</v>
      </c>
      <c r="U35" s="240">
        <v>10.777</v>
      </c>
      <c r="V35" s="240">
        <v>10.229</v>
      </c>
      <c r="W35" s="240">
        <v>10.18</v>
      </c>
      <c r="X35" s="240">
        <v>10.185</v>
      </c>
      <c r="Y35" s="240">
        <v>10.165</v>
      </c>
      <c r="Z35" s="233">
        <v>10.1</v>
      </c>
      <c r="AA35" s="971">
        <v>-0.6394490900147543</v>
      </c>
      <c r="AB35" s="109" t="s">
        <v>13</v>
      </c>
    </row>
    <row r="36" spans="2:28" ht="12.75">
      <c r="B36" s="154" t="s">
        <v>164</v>
      </c>
      <c r="C36" s="323" t="s">
        <v>100</v>
      </c>
      <c r="D36" s="323" t="s">
        <v>100</v>
      </c>
      <c r="E36" s="249">
        <v>3.6</v>
      </c>
      <c r="F36" s="249" t="s">
        <v>100</v>
      </c>
      <c r="G36" s="249"/>
      <c r="H36" s="249"/>
      <c r="I36" s="249"/>
      <c r="J36" s="249" t="s">
        <v>100</v>
      </c>
      <c r="K36" s="249"/>
      <c r="L36" s="249">
        <v>0.725</v>
      </c>
      <c r="M36" s="249">
        <v>0.951</v>
      </c>
      <c r="N36" s="249">
        <v>0.623</v>
      </c>
      <c r="O36" s="249">
        <v>0.428</v>
      </c>
      <c r="P36" s="249">
        <v>0.897</v>
      </c>
      <c r="Q36" s="249">
        <v>1.286</v>
      </c>
      <c r="R36" s="249">
        <v>1.335</v>
      </c>
      <c r="S36" s="249">
        <v>1.515</v>
      </c>
      <c r="T36" s="249">
        <v>1.507</v>
      </c>
      <c r="U36" s="249">
        <v>1.255</v>
      </c>
      <c r="V36" s="249">
        <v>1.406</v>
      </c>
      <c r="W36" s="249">
        <v>1.308</v>
      </c>
      <c r="X36" s="249">
        <v>1.445</v>
      </c>
      <c r="Y36" s="986">
        <v>1.3</v>
      </c>
      <c r="Z36" s="987">
        <v>1.1274899999999999</v>
      </c>
      <c r="AA36" s="403">
        <v>-13.270000000000016</v>
      </c>
      <c r="AB36" s="154" t="s">
        <v>164</v>
      </c>
    </row>
    <row r="37" spans="2:28" ht="12.75">
      <c r="B37" s="107" t="s">
        <v>165</v>
      </c>
      <c r="C37" s="304" t="s">
        <v>158</v>
      </c>
      <c r="D37" s="304" t="s">
        <v>158</v>
      </c>
      <c r="E37" s="238" t="s">
        <v>158</v>
      </c>
      <c r="F37" s="238" t="s">
        <v>158</v>
      </c>
      <c r="G37" s="238" t="s">
        <v>158</v>
      </c>
      <c r="H37" s="238" t="s">
        <v>158</v>
      </c>
      <c r="I37" s="238" t="s">
        <v>158</v>
      </c>
      <c r="J37" s="238" t="s">
        <v>158</v>
      </c>
      <c r="K37" s="238" t="s">
        <v>158</v>
      </c>
      <c r="L37" s="238" t="s">
        <v>158</v>
      </c>
      <c r="M37" s="238" t="s">
        <v>158</v>
      </c>
      <c r="N37" s="238" t="s">
        <v>158</v>
      </c>
      <c r="O37" s="238" t="s">
        <v>158</v>
      </c>
      <c r="P37" s="238" t="s">
        <v>158</v>
      </c>
      <c r="Q37" s="239">
        <v>0.04</v>
      </c>
      <c r="R37" s="239">
        <v>0.121</v>
      </c>
      <c r="S37" s="239">
        <v>0.12</v>
      </c>
      <c r="T37" s="239">
        <v>0.149</v>
      </c>
      <c r="U37" s="238">
        <v>0.17</v>
      </c>
      <c r="V37" s="238">
        <v>0.164</v>
      </c>
      <c r="W37" s="238">
        <v>0.164</v>
      </c>
      <c r="X37" s="238">
        <v>0.144</v>
      </c>
      <c r="Y37" s="988">
        <v>0.123</v>
      </c>
      <c r="Z37" s="424">
        <v>0.098</v>
      </c>
      <c r="AA37" s="302">
        <v>-20.32520325203252</v>
      </c>
      <c r="AB37" s="107" t="s">
        <v>165</v>
      </c>
    </row>
    <row r="38" spans="2:28" ht="12.75">
      <c r="B38" s="156" t="s">
        <v>166</v>
      </c>
      <c r="C38" s="325">
        <v>1.3</v>
      </c>
      <c r="D38" s="325">
        <v>13.8</v>
      </c>
      <c r="E38" s="326" t="s">
        <v>100</v>
      </c>
      <c r="F38" s="326" t="s">
        <v>334</v>
      </c>
      <c r="G38" s="326">
        <v>3.1</v>
      </c>
      <c r="H38" s="326">
        <v>3.1</v>
      </c>
      <c r="I38" s="326">
        <v>3.1</v>
      </c>
      <c r="J38" s="326">
        <v>3.2</v>
      </c>
      <c r="K38" s="326">
        <v>4</v>
      </c>
      <c r="L38" s="326">
        <v>21</v>
      </c>
      <c r="M38" s="326">
        <v>39.7</v>
      </c>
      <c r="N38" s="326">
        <v>43.478</v>
      </c>
      <c r="O38" s="326">
        <v>53.134</v>
      </c>
      <c r="P38" s="326">
        <v>43.518</v>
      </c>
      <c r="Q38" s="326">
        <v>47.691</v>
      </c>
      <c r="R38" s="326">
        <v>18.127734</v>
      </c>
      <c r="S38" s="326">
        <v>11.927373</v>
      </c>
      <c r="T38" s="326">
        <v>5.735652</v>
      </c>
      <c r="U38" s="326">
        <v>5.84076</v>
      </c>
      <c r="V38" s="326">
        <v>12.893485</v>
      </c>
      <c r="W38" s="326">
        <v>36.397749</v>
      </c>
      <c r="X38" s="326">
        <v>45.111153</v>
      </c>
      <c r="Y38" s="989">
        <v>39.636438</v>
      </c>
      <c r="Z38" s="972">
        <v>44.69</v>
      </c>
      <c r="AA38" s="404">
        <v>12.7497884648464</v>
      </c>
      <c r="AB38" s="156" t="s">
        <v>166</v>
      </c>
    </row>
    <row r="39" spans="2:28" ht="12.75">
      <c r="B39" s="107" t="s">
        <v>167</v>
      </c>
      <c r="C39" s="977" t="s">
        <v>158</v>
      </c>
      <c r="D39" s="977" t="s">
        <v>158</v>
      </c>
      <c r="E39" s="252" t="s">
        <v>158</v>
      </c>
      <c r="F39" s="252" t="s">
        <v>158</v>
      </c>
      <c r="G39" s="252" t="s">
        <v>158</v>
      </c>
      <c r="H39" s="252" t="s">
        <v>158</v>
      </c>
      <c r="I39" s="252" t="s">
        <v>158</v>
      </c>
      <c r="J39" s="252" t="s">
        <v>158</v>
      </c>
      <c r="K39" s="252" t="s">
        <v>158</v>
      </c>
      <c r="L39" s="252" t="s">
        <v>158</v>
      </c>
      <c r="M39" s="252" t="s">
        <v>158</v>
      </c>
      <c r="N39" s="252" t="s">
        <v>158</v>
      </c>
      <c r="O39" s="252" t="s">
        <v>158</v>
      </c>
      <c r="P39" s="252" t="s">
        <v>158</v>
      </c>
      <c r="Q39" s="252" t="s">
        <v>158</v>
      </c>
      <c r="R39" s="252" t="s">
        <v>158</v>
      </c>
      <c r="S39" s="252" t="s">
        <v>158</v>
      </c>
      <c r="T39" s="252" t="s">
        <v>158</v>
      </c>
      <c r="U39" s="252" t="s">
        <v>158</v>
      </c>
      <c r="V39" s="252" t="s">
        <v>158</v>
      </c>
      <c r="W39" s="252" t="s">
        <v>158</v>
      </c>
      <c r="X39" s="252" t="s">
        <v>158</v>
      </c>
      <c r="Y39" s="238" t="s">
        <v>158</v>
      </c>
      <c r="Z39" s="238" t="s">
        <v>158</v>
      </c>
      <c r="AA39" s="302"/>
      <c r="AB39" s="107" t="s">
        <v>167</v>
      </c>
    </row>
    <row r="40" spans="2:28" ht="12.75">
      <c r="B40" s="154" t="s">
        <v>168</v>
      </c>
      <c r="C40" s="288" t="s">
        <v>158</v>
      </c>
      <c r="D40" s="288" t="s">
        <v>158</v>
      </c>
      <c r="E40" s="235">
        <v>2.055</v>
      </c>
      <c r="F40" s="235">
        <v>2.505</v>
      </c>
      <c r="G40" s="235">
        <v>3.071</v>
      </c>
      <c r="H40" s="235">
        <v>3.39</v>
      </c>
      <c r="I40" s="235">
        <v>4.049</v>
      </c>
      <c r="J40" s="235">
        <v>5.261</v>
      </c>
      <c r="K40" s="235">
        <v>5.126</v>
      </c>
      <c r="L40" s="235">
        <v>4.16</v>
      </c>
      <c r="M40" s="235">
        <v>4.136</v>
      </c>
      <c r="N40" s="235">
        <v>3.981</v>
      </c>
      <c r="O40" s="235">
        <v>3.485</v>
      </c>
      <c r="P40" s="235">
        <v>3.681</v>
      </c>
      <c r="Q40" s="235">
        <v>3.601</v>
      </c>
      <c r="R40" s="235">
        <v>3.494</v>
      </c>
      <c r="S40" s="235">
        <v>4.721</v>
      </c>
      <c r="T40" s="235">
        <v>4.59</v>
      </c>
      <c r="U40" s="235">
        <v>4.529</v>
      </c>
      <c r="V40" s="235">
        <v>4.192</v>
      </c>
      <c r="W40" s="235">
        <v>3.827</v>
      </c>
      <c r="X40" s="235">
        <v>3.854</v>
      </c>
      <c r="Y40" s="235">
        <v>3.44</v>
      </c>
      <c r="Z40" s="235">
        <v>3.065</v>
      </c>
      <c r="AA40" s="303">
        <v>-10.901162790697672</v>
      </c>
      <c r="AB40" s="154" t="s">
        <v>168</v>
      </c>
    </row>
    <row r="41" spans="2:28" ht="12.75">
      <c r="B41" s="109" t="s">
        <v>169</v>
      </c>
      <c r="C41" s="973">
        <v>1.2</v>
      </c>
      <c r="D41" s="973">
        <v>1.1</v>
      </c>
      <c r="E41" s="922">
        <v>1.2</v>
      </c>
      <c r="F41" s="922">
        <v>1.227</v>
      </c>
      <c r="G41" s="922">
        <v>1.265</v>
      </c>
      <c r="H41" s="922">
        <v>1.221</v>
      </c>
      <c r="I41" s="922">
        <v>1.211</v>
      </c>
      <c r="J41" s="922">
        <v>1.248</v>
      </c>
      <c r="K41" s="922">
        <v>1.202</v>
      </c>
      <c r="L41" s="922">
        <v>0.289</v>
      </c>
      <c r="M41" s="922">
        <v>0.234</v>
      </c>
      <c r="N41" s="922">
        <v>0.233</v>
      </c>
      <c r="O41" s="922">
        <v>0.216</v>
      </c>
      <c r="P41" s="922">
        <v>0.23</v>
      </c>
      <c r="Q41" s="922">
        <v>0.226</v>
      </c>
      <c r="R41" s="922">
        <v>0.222</v>
      </c>
      <c r="S41" s="922">
        <v>0.238</v>
      </c>
      <c r="T41" s="922">
        <v>0.226</v>
      </c>
      <c r="U41" s="922">
        <v>0.256</v>
      </c>
      <c r="V41" s="922">
        <v>0.217</v>
      </c>
      <c r="W41" s="922">
        <v>0.248</v>
      </c>
      <c r="X41" s="922">
        <v>0.233</v>
      </c>
      <c r="Y41" s="922">
        <v>0.218</v>
      </c>
      <c r="Z41" s="922">
        <v>0.203</v>
      </c>
      <c r="AA41" s="990">
        <v>-6.8807339449541205</v>
      </c>
      <c r="AB41" s="109" t="s">
        <v>169</v>
      </c>
    </row>
    <row r="42" spans="2:19" ht="12.75">
      <c r="B42" s="135" t="s">
        <v>336</v>
      </c>
      <c r="C42" s="206"/>
      <c r="D42" s="206"/>
      <c r="E42" s="206"/>
      <c r="F42" s="206"/>
      <c r="G42" s="206"/>
      <c r="H42" s="206"/>
      <c r="I42" s="206"/>
      <c r="J42" s="206"/>
      <c r="K42" s="206"/>
      <c r="L42" s="206"/>
      <c r="M42" s="206"/>
      <c r="N42" s="206"/>
      <c r="O42" s="206"/>
      <c r="P42" s="206"/>
      <c r="Q42" s="206"/>
      <c r="R42" s="206"/>
      <c r="S42" s="206"/>
    </row>
    <row r="43" spans="2:19" ht="12.75">
      <c r="B43" s="1088" t="s">
        <v>197</v>
      </c>
      <c r="C43" s="1088"/>
      <c r="D43" s="1088"/>
      <c r="E43" s="1088"/>
      <c r="F43" s="1088"/>
      <c r="G43" s="1088"/>
      <c r="H43" s="1088"/>
      <c r="I43" s="1088"/>
      <c r="J43" s="1088"/>
      <c r="K43" s="1088"/>
      <c r="L43" s="1088"/>
      <c r="M43" s="1088"/>
      <c r="N43" s="1088"/>
      <c r="O43" s="1088"/>
      <c r="P43" s="1088"/>
      <c r="Q43" s="1088"/>
      <c r="R43" s="1088"/>
      <c r="S43" s="1088"/>
    </row>
    <row r="44" spans="2:28" ht="12.75">
      <c r="B44"/>
      <c r="C44"/>
      <c r="D44"/>
      <c r="E44"/>
      <c r="F44"/>
      <c r="G44"/>
      <c r="H44"/>
      <c r="I44"/>
      <c r="J44"/>
      <c r="K44"/>
      <c r="L44"/>
      <c r="M44"/>
      <c r="N44"/>
      <c r="O44"/>
      <c r="P44"/>
      <c r="Q44"/>
      <c r="R44"/>
      <c r="S44"/>
      <c r="T44"/>
      <c r="U44"/>
      <c r="V44"/>
      <c r="W44"/>
      <c r="X44"/>
      <c r="Y44"/>
      <c r="Z44"/>
      <c r="AA44"/>
      <c r="AB44"/>
    </row>
    <row r="45" spans="2:28" ht="12.75">
      <c r="B45" s="340" t="s">
        <v>337</v>
      </c>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row>
    <row r="46" spans="2:28" ht="12.75">
      <c r="B46" s="340" t="s">
        <v>338</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row>
  </sheetData>
  <sheetProtection/>
  <mergeCells count="3">
    <mergeCell ref="B2:AB2"/>
    <mergeCell ref="W3:X3"/>
    <mergeCell ref="B43:S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Dixon</dc:creator>
  <cp:keywords/>
  <dc:description/>
  <cp:lastModifiedBy>u016789</cp:lastModifiedBy>
  <cp:lastPrinted>2013-12-20T14:17:08Z</cp:lastPrinted>
  <dcterms:created xsi:type="dcterms:W3CDTF">2003-03-18T15:19:18Z</dcterms:created>
  <dcterms:modified xsi:type="dcterms:W3CDTF">2014-01-17T15:52:44Z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A7553029</vt:lpwstr>
  </property>
  <property fmtid="{D5CDD505-2E9C-101B-9397-08002B2CF9AE}" pid="3" name="Objective-Comment">
    <vt:lpwstr/>
  </property>
  <property fmtid="{D5CDD505-2E9C-101B-9397-08002B2CF9AE}" pid="4" name="Objective-CreationStamp">
    <vt:filetime>2014-01-10T15:28:23Z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2014-01-17T15:52:54Z</vt:filetime>
  </property>
  <property fmtid="{D5CDD505-2E9C-101B-9397-08002B2CF9AE}" pid="8" name="Objective-ModificationStamp">
    <vt:filetime>2014-01-17T15:52:58Z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safety:Transport statistics: Scottish Transport Statistics: 2013: Research and analysis: Transport: 2013-2018:</vt:lpwstr>
  </property>
  <property fmtid="{D5CDD505-2E9C-101B-9397-08002B2CF9AE}" pid="11" name="Objective-Parent">
    <vt:lpwstr>Transport statistics: Scottish Transport Statistics: 2013: Research and analysis: Transport: 2013-2018</vt:lpwstr>
  </property>
  <property fmtid="{D5CDD505-2E9C-101B-9397-08002B2CF9AE}" pid="12" name="Objective-State">
    <vt:lpwstr>Published</vt:lpwstr>
  </property>
  <property fmtid="{D5CDD505-2E9C-101B-9397-08002B2CF9AE}" pid="13" name="Objective-Title">
    <vt:lpwstr>Chapter12 - International</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