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5790" windowWidth="19155" windowHeight="5850" tabRatio="856" activeTab="0"/>
  </bookViews>
  <sheets>
    <sheet name="International comparisons-2013" sheetId="1" r:id="rId1"/>
    <sheet name="footnotes" sheetId="2" r:id="rId2"/>
    <sheet name="Table1.1" sheetId="3" r:id="rId3"/>
    <sheet name="Table 2.2.4c" sheetId="4" r:id="rId4"/>
    <sheet name="Table 2.2.5" sheetId="5" r:id="rId5"/>
    <sheet name="Table 2.2.6" sheetId="6" r:id="rId6"/>
    <sheet name="Table 2.2.7" sheetId="7" r:id="rId7"/>
    <sheet name="Table 2.3.3" sheetId="8" r:id="rId8"/>
    <sheet name="Table 2.3.4" sheetId="9" r:id="rId9"/>
    <sheet name="Table 2.3.5" sheetId="10" r:id="rId10"/>
    <sheet name="Table 2.3.6" sheetId="11" r:id="rId11"/>
    <sheet name="Table 2.3.7" sheetId="12" r:id="rId12"/>
    <sheet name="Table 2.4.1" sheetId="13" r:id="rId13"/>
    <sheet name="Table 2.5.1" sheetId="14" r:id="rId14"/>
    <sheet name="Table 2.5.2" sheetId="15" r:id="rId15"/>
    <sheet name="Table 2.5.3" sheetId="16" r:id="rId16"/>
    <sheet name="Table 2.6.2" sheetId="17" r:id="rId17"/>
    <sheet name="Table 2.6.4" sheetId="18" r:id="rId18"/>
    <sheet name="Table 2.6.5" sheetId="19" r:id="rId19"/>
    <sheet name="Table 2.6.6" sheetId="20" r:id="rId20"/>
    <sheet name="Table 2.7.1" sheetId="21" r:id="rId21"/>
  </sheets>
  <externalReferences>
    <externalReference r:id="rId24"/>
    <externalReference r:id="rId25"/>
  </externalReference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'International comparisons-2013'!$A$1:$AW$89</definedName>
    <definedName name="_xlnm.Print_Area" localSheetId="2">'Table1.1'!$B$1:$M$48</definedName>
    <definedName name="_xlnm.Print_Titles" localSheetId="0">'International comparisons-2013'!$A:$L,'International comparisons-2013'!$1:$8</definedName>
  </definedNames>
  <calcPr fullCalcOnLoad="1"/>
</workbook>
</file>

<file path=xl/sharedStrings.xml><?xml version="1.0" encoding="utf-8"?>
<sst xmlns="http://schemas.openxmlformats.org/spreadsheetml/2006/main" count="3654" uniqueCount="339">
  <si>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</si>
  <si>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</si>
  <si>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</si>
  <si>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</si>
  <si>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</si>
  <si>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</si>
  <si>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</si>
  <si>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</si>
  <si>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</si>
  <si>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</si>
  <si>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</si>
  <si>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</si>
  <si>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</si>
  <si>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</si>
  <si>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</si>
  <si>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</si>
  <si>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</si>
  <si>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</si>
  <si>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</si>
  <si>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</si>
  <si>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</si>
  <si>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</si>
  <si>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</si>
  <si>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</si>
  <si>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</si>
  <si>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</si>
  <si>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</si>
  <si>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</si>
  <si>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</si>
  <si>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</si>
  <si>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</si>
  <si>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</si>
  <si>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</si>
  <si>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</si>
  <si>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</si>
  <si>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</si>
  <si>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</si>
  <si>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</si>
  <si>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</si>
  <si>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</si>
  <si>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</si>
  <si>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</si>
  <si>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</si>
  <si>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</si>
  <si>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</si>
  <si>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</si>
  <si>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</si>
  <si>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</si>
  <si>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</si>
  <si>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</si>
  <si>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</si>
  <si>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</si>
  <si>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</si>
  <si>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</si>
  <si>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</si>
  <si>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</si>
  <si>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</si>
  <si>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</si>
  <si>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</si>
  <si>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</si>
  <si>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</si>
  <si>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</si>
  <si>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</si>
  <si>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</si>
  <si>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</si>
  <si>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</si>
  <si>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</si>
  <si>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</si>
  <si>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</si>
  <si>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</si>
  <si>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</si>
  <si>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</si>
  <si>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</si>
  <si>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</si>
  <si>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</si>
  <si>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</si>
  <si>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</si>
  <si>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</si>
  <si>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</si>
  <si>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</si>
  <si>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</si>
  <si>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</si>
  <si>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</si>
  <si>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</si>
  <si>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</si>
  <si>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</si>
  <si>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</si>
  <si>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</si>
  <si>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</si>
  <si>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</si>
  <si>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</si>
  <si>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</si>
  <si>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</si>
  <si>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</si>
  <si>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</si>
  <si>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</si>
  <si>
    <t>( $ )</t>
  </si>
  <si>
    <t>1.1</t>
  </si>
  <si>
    <t>The definitions of road types vary from country to country.  Some countries' figures may include the lengths of some roads which do not have a hard surface.</t>
  </si>
  <si>
    <t xml:space="preserve"> </t>
  </si>
  <si>
    <t>In general, n-a is used where a figure is not available, and 0 is used where a figure is nil.  However, n-a may be treated as if it were 0 for the purpose of some calculations.</t>
  </si>
  <si>
    <t>BG</t>
  </si>
  <si>
    <t>RO</t>
  </si>
  <si>
    <t>Bulgaria</t>
  </si>
  <si>
    <t>Romania</t>
  </si>
  <si>
    <t>02 &amp; '04</t>
  </si>
  <si>
    <t>As distance travelled</t>
  </si>
  <si>
    <r>
      <t xml:space="preserve">Population  </t>
    </r>
    <r>
      <rPr>
        <sz val="12"/>
        <rFont val="Arial"/>
        <family val="2"/>
      </rPr>
      <t>(at 1 Jan)</t>
    </r>
  </si>
  <si>
    <r>
      <t xml:space="preserve">Population density  </t>
    </r>
    <r>
      <rPr>
        <sz val="12"/>
        <rFont val="Arial"/>
        <family val="2"/>
      </rPr>
      <t>(at 1 Jan)</t>
    </r>
  </si>
  <si>
    <r>
      <t xml:space="preserve">All roads </t>
    </r>
    <r>
      <rPr>
        <sz val="12"/>
        <rFont val="Arial"/>
        <family val="2"/>
      </rPr>
      <t xml:space="preserve"> ( @  )</t>
    </r>
  </si>
  <si>
    <r>
      <t xml:space="preserve">Powered two wheelers  </t>
    </r>
    <r>
      <rPr>
        <sz val="12"/>
        <rFont val="Arial"/>
        <family val="2"/>
      </rPr>
      <t>( $ )</t>
    </r>
  </si>
  <si>
    <r>
      <t xml:space="preserve">Distance travelled </t>
    </r>
    <r>
      <rPr>
        <sz val="12"/>
        <rFont val="Arial"/>
        <family val="2"/>
      </rPr>
      <t>(kilometres per person per year)</t>
    </r>
  </si>
  <si>
    <r>
      <t xml:space="preserve">International air passenger traffic between EU countries </t>
    </r>
    <r>
      <rPr>
        <sz val="12"/>
        <rFont val="Arial"/>
        <family val="2"/>
      </rPr>
      <t>(arrivals plus departures)</t>
    </r>
  </si>
  <si>
    <r>
      <t xml:space="preserve">Freight transport: modal shares </t>
    </r>
    <r>
      <rPr>
        <sz val="12"/>
        <rFont val="Arial"/>
        <family val="2"/>
      </rPr>
      <t>(% of total tonne-kms)</t>
    </r>
  </si>
  <si>
    <t>n-a or 0</t>
  </si>
  <si>
    <t xml:space="preserve">EU-15 </t>
  </si>
  <si>
    <t>All roads data relates to the end of 2005, except for motorway estimate.</t>
  </si>
  <si>
    <t>( *** )</t>
  </si>
  <si>
    <t>Year of data (most countries)</t>
  </si>
  <si>
    <t>Other year/issues  (some countries)</t>
  </si>
  <si>
    <r>
      <t>Scottish figure (</t>
    </r>
    <r>
      <rPr>
        <sz val="12"/>
        <rFont val="Arial"/>
        <family val="2"/>
      </rPr>
      <t>same or a similar basis)  ( # )</t>
    </r>
  </si>
  <si>
    <t>Greece (+)</t>
  </si>
  <si>
    <r>
      <t xml:space="preserve">Scotland/ GB/ UK figures </t>
    </r>
    <r>
      <rPr>
        <b/>
        <vertAlign val="superscript"/>
        <sz val="12"/>
        <rFont val="Arial"/>
        <family val="2"/>
      </rPr>
      <t>( # )</t>
    </r>
  </si>
  <si>
    <t>Malta (+)</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</si>
  <si>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</si>
  <si>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</si>
  <si>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</si>
  <si>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</si>
  <si>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</si>
  <si>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</si>
  <si>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</si>
  <si>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</si>
  <si>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</si>
  <si>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</si>
  <si>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</si>
  <si>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</si>
  <si>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</si>
  <si>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</si>
  <si>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</si>
  <si>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t>2.3.3</t>
  </si>
  <si>
    <t>2.4.1***</t>
  </si>
  <si>
    <t>2.7.1</t>
  </si>
  <si>
    <t>n-a</t>
  </si>
  <si>
    <t>As shown in (or as calculated from figures in) a previous edition - the 2012 edition does not provide any figures for powered two-wheelers, cycling or walking.</t>
  </si>
  <si>
    <t>Data calculated by adding together the total number of journeys across each row in Table 2.4.1</t>
  </si>
  <si>
    <t>GB figures taken from TSGB table TSGB0401 except for Inland waterways (UK figure used)</t>
  </si>
  <si>
    <t>-</t>
  </si>
  <si>
    <t>%</t>
  </si>
  <si>
    <t>HR</t>
  </si>
  <si>
    <t>MK</t>
  </si>
  <si>
    <t>TR</t>
  </si>
  <si>
    <t>IS</t>
  </si>
  <si>
    <t>NO</t>
  </si>
  <si>
    <t>CH</t>
  </si>
  <si>
    <t>2.4.1</t>
  </si>
  <si>
    <t>Air: Passenger Traffic between Member States</t>
  </si>
  <si>
    <t>Total passengers carried* including domestic flights (1000)</t>
  </si>
  <si>
    <t>Partner &gt;&gt;&gt;&gt;&gt;</t>
  </si>
  <si>
    <t>Reporter</t>
  </si>
  <si>
    <t>Greece</t>
  </si>
  <si>
    <t xml:space="preserve">Luxem- bourg </t>
  </si>
  <si>
    <t>Malta</t>
  </si>
  <si>
    <t>Nether- lands</t>
  </si>
  <si>
    <t>Slovakia</t>
  </si>
  <si>
    <t>United Kingdom</t>
  </si>
  <si>
    <t>Croatia</t>
  </si>
  <si>
    <t>Road Fatalities</t>
  </si>
  <si>
    <r>
      <t>Source</t>
    </r>
    <r>
      <rPr>
        <sz val="8"/>
        <rFont val="Arial"/>
        <family val="2"/>
      </rPr>
      <t>: From 1991: CARE database (DG Mobility and Transport), International Transport Forum, national sources. 1990: IRTAD (OECD)</t>
    </r>
  </si>
  <si>
    <r>
      <t>Notes</t>
    </r>
    <r>
      <rPr>
        <sz val="8"/>
        <rFont val="Arial"/>
        <family val="2"/>
      </rPr>
      <t>: Persons killed are all persons deceased within 30 days of the accident. Corrective factors have been applied to the figures which did not follow this definition.</t>
    </r>
  </si>
  <si>
    <t>Modal Split of Passenger Transport on Land by Country</t>
  </si>
  <si>
    <t>passenger-km in %</t>
  </si>
  <si>
    <t>Passenger Cars</t>
  </si>
  <si>
    <t>Buses and Coaches</t>
  </si>
  <si>
    <t>Tram &amp; Metro</t>
  </si>
  <si>
    <t>Notes:</t>
  </si>
  <si>
    <t>2.3.4</t>
  </si>
  <si>
    <r>
      <t>Source</t>
    </r>
    <r>
      <rPr>
        <sz val="8"/>
        <rFont val="Arial"/>
        <family val="2"/>
      </rPr>
      <t>: national statistics, International Transport Forum, Eurostat, estimates</t>
    </r>
    <r>
      <rPr>
        <i/>
        <sz val="8"/>
        <rFont val="Arial"/>
        <family val="2"/>
      </rPr>
      <t xml:space="preserve"> (in italics)</t>
    </r>
  </si>
  <si>
    <r>
      <t>UK:</t>
    </r>
    <r>
      <rPr>
        <sz val="8"/>
        <rFont val="Arial"/>
        <family val="2"/>
      </rPr>
      <t xml:space="preserve"> data refer to Great Britain only; include pkm by vans</t>
    </r>
  </si>
  <si>
    <r>
      <t xml:space="preserve">DE: </t>
    </r>
    <r>
      <rPr>
        <sz val="8"/>
        <rFont val="Arial"/>
        <family val="2"/>
      </rPr>
      <t>incl.</t>
    </r>
    <r>
      <rPr>
        <b/>
        <sz val="8"/>
        <rFont val="Arial"/>
        <family val="2"/>
      </rPr>
      <t>DE-E:</t>
    </r>
    <r>
      <rPr>
        <sz val="8"/>
        <rFont val="Arial"/>
        <family val="2"/>
      </rPr>
      <t xml:space="preserve"> 1970=24.5, 1980=56.0, 1990=90.3</t>
    </r>
  </si>
  <si>
    <t>2.3.5</t>
  </si>
  <si>
    <t>Buses &amp; Coaches</t>
  </si>
  <si>
    <r>
      <t>Source</t>
    </r>
    <r>
      <rPr>
        <sz val="8"/>
        <rFont val="Arial"/>
        <family val="2"/>
      </rPr>
      <t xml:space="preserve">: national statistics, International Transport Forum, Eurostat, study for DG Energy and Transport, estimates </t>
    </r>
    <r>
      <rPr>
        <i/>
        <sz val="8"/>
        <rFont val="Arial"/>
        <family val="2"/>
      </rPr>
      <t>(in italics)</t>
    </r>
  </si>
  <si>
    <r>
      <t>UK:</t>
    </r>
    <r>
      <rPr>
        <sz val="8"/>
        <rFont val="Arial"/>
        <family val="2"/>
      </rPr>
      <t xml:space="preserve"> GB data + 1.5 bln pkm throughout to account for Northern Ireland</t>
    </r>
  </si>
  <si>
    <t>2.3.6</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</si>
  <si>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</si>
  <si>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Notes:</t>
    </r>
    <r>
      <rPr>
        <sz val="8"/>
        <rFont val="Arial"/>
        <family val="2"/>
      </rPr>
      <t xml:space="preserve"> </t>
    </r>
  </si>
  <si>
    <t>Data are not harmonised and therefore not fully comparable across countries.</t>
  </si>
  <si>
    <r>
      <t xml:space="preserve">FR: </t>
    </r>
    <r>
      <rPr>
        <sz val="8"/>
        <rFont val="Arial"/>
        <family val="2"/>
      </rPr>
      <t>data refer to the Paris Metro and RER (Réseau Express Régional) systems and to metros in other French cities</t>
    </r>
  </si>
  <si>
    <r>
      <t>PT:</t>
    </r>
    <r>
      <rPr>
        <sz val="8"/>
        <rFont val="Arial"/>
        <family val="2"/>
      </rPr>
      <t xml:space="preserve"> data refer only to Lisbon and Porto Metro</t>
    </r>
  </si>
  <si>
    <t>2.3.7</t>
  </si>
  <si>
    <t>General Data</t>
  </si>
  <si>
    <t>Population</t>
  </si>
  <si>
    <t>GDP (nominal)</t>
  </si>
  <si>
    <t>GDP per head</t>
  </si>
  <si>
    <t xml:space="preserve">Notes: </t>
  </si>
  <si>
    <t xml:space="preserve">Road : Length of Motorways  </t>
  </si>
  <si>
    <t>(at end of year)</t>
  </si>
  <si>
    <t xml:space="preserve">- </t>
  </si>
  <si>
    <r>
      <t>Notes</t>
    </r>
    <r>
      <rPr>
        <sz val="8"/>
        <rFont val="Arial"/>
        <family val="2"/>
      </rPr>
      <t xml:space="preserve">: </t>
    </r>
  </si>
  <si>
    <r>
      <t>ES</t>
    </r>
    <r>
      <rPr>
        <sz val="8"/>
        <rFont val="Arial"/>
        <family val="2"/>
      </rPr>
      <t>: 'autopistas de peaje' and 'autovías y autopistas libres'</t>
    </r>
  </si>
  <si>
    <r>
      <t>CY</t>
    </r>
    <r>
      <rPr>
        <sz val="8"/>
        <rFont val="Arial"/>
        <family val="2"/>
      </rPr>
      <t>: from 2006: without urban M-ways</t>
    </r>
  </si>
  <si>
    <r>
      <t>NL:</t>
    </r>
    <r>
      <rPr>
        <sz val="8"/>
        <rFont val="Arial"/>
        <family val="2"/>
      </rPr>
      <t xml:space="preserve"> all national roads ('Rijkswegen') with dual carriageways</t>
    </r>
  </si>
  <si>
    <t>2.5.2</t>
  </si>
  <si>
    <t>Road : Length of Road Network</t>
  </si>
  <si>
    <t>Main or national roads</t>
  </si>
  <si>
    <t>Secondary or regional roads</t>
  </si>
  <si>
    <t>Other roads*</t>
  </si>
  <si>
    <t xml:space="preserve">*: the definition of road types varies from country to country, the data are therefore not comparable. </t>
  </si>
  <si>
    <t xml:space="preserve">"Other roads" sometimes includes roads without a hard surface. </t>
  </si>
  <si>
    <t>Railways : Length of Lines in Use</t>
  </si>
  <si>
    <t>of which: Electrified</t>
  </si>
  <si>
    <r>
      <t>Source</t>
    </r>
    <r>
      <rPr>
        <sz val="8"/>
        <rFont val="Arial"/>
        <family val="2"/>
      </rPr>
      <t>: Union Internationale des Chemins de Fer, national statistics, Eurostat, estimates (in italics)</t>
    </r>
  </si>
  <si>
    <r>
      <t xml:space="preserve">DE: </t>
    </r>
    <r>
      <rPr>
        <sz val="8"/>
        <rFont val="Arial"/>
        <family val="2"/>
      </rPr>
      <t xml:space="preserve">includes </t>
    </r>
    <r>
      <rPr>
        <b/>
        <sz val="8"/>
        <rFont val="Arial"/>
        <family val="2"/>
      </rPr>
      <t>DE-E</t>
    </r>
    <r>
      <rPr>
        <sz val="8"/>
        <rFont val="Arial"/>
        <family val="2"/>
      </rPr>
      <t xml:space="preserve">: 1970=14250,  1980=14248,  1990=14031 </t>
    </r>
  </si>
  <si>
    <t>2.6.2</t>
  </si>
  <si>
    <t>Road : Passenger Cars</t>
  </si>
  <si>
    <t>Stock of registered vehicles</t>
  </si>
  <si>
    <t>thousand</t>
  </si>
  <si>
    <t>LI</t>
  </si>
  <si>
    <r>
      <t>Source</t>
    </r>
    <r>
      <rPr>
        <sz val="8"/>
        <rFont val="Arial"/>
        <family val="2"/>
      </rPr>
      <t xml:space="preserve">: Eurostat, National statistics, United Nations Economic Commission for Europe, estimates </t>
    </r>
    <r>
      <rPr>
        <i/>
        <sz val="8"/>
        <rFont val="Arial"/>
        <family val="2"/>
      </rPr>
      <t>(in italics)</t>
    </r>
  </si>
  <si>
    <t>Taxis are usually included.</t>
  </si>
  <si>
    <r>
      <rPr>
        <b/>
        <sz val="8"/>
        <rFont val="Arial"/>
        <family val="2"/>
      </rPr>
      <t>HR:</t>
    </r>
    <r>
      <rPr>
        <sz val="8"/>
        <rFont val="Arial"/>
        <family val="2"/>
      </rPr>
      <t xml:space="preserve"> from 2009 light vans are included in passenger cars and no longer in Good Vehicles</t>
    </r>
  </si>
  <si>
    <t xml:space="preserve">    Road : Goods Vehicles</t>
  </si>
  <si>
    <t xml:space="preserve">  </t>
  </si>
  <si>
    <t>2.6.5</t>
  </si>
  <si>
    <t>Road : Powered Two-wheelers</t>
  </si>
  <si>
    <t>New vehicle registrations</t>
  </si>
  <si>
    <t>2.2.4c</t>
  </si>
  <si>
    <t>Haulage by Vehicles Registered in the Reporting Country</t>
  </si>
  <si>
    <t>(*) (including cross-trade and cabotage)</t>
  </si>
  <si>
    <t>Only haulage of heavy goods vehicles (usually &gt;3.5 tonnes load capacity)</t>
  </si>
  <si>
    <t>2.2.5</t>
  </si>
  <si>
    <t>2.2.6</t>
  </si>
  <si>
    <t>Inland Waterways</t>
  </si>
  <si>
    <t>2.2.7</t>
  </si>
  <si>
    <t xml:space="preserve">      </t>
  </si>
  <si>
    <t xml:space="preserve">     </t>
  </si>
  <si>
    <r>
      <t xml:space="preserve">from </t>
    </r>
    <r>
      <rPr>
        <i/>
        <sz val="12"/>
        <rFont val="Arial"/>
        <family val="2"/>
      </rPr>
      <t xml:space="preserve">EU Energy and Transport in Figures    (2013 edition) </t>
    </r>
  </si>
  <si>
    <t xml:space="preserve">Excluding Other roads (U roads) </t>
  </si>
  <si>
    <t>New registrations of passenger cars</t>
  </si>
  <si>
    <t>2.3.3  (^)</t>
  </si>
  <si>
    <t>(^)</t>
  </si>
  <si>
    <r>
      <t xml:space="preserve">Freight transport: modal shares </t>
    </r>
    <r>
      <rPr>
        <sz val="12"/>
        <rFont val="Arial"/>
        <family val="2"/>
      </rPr>
      <t>(Thousand million tonne-kms)</t>
    </r>
  </si>
  <si>
    <t>Note: figures for GB and Scotland are taken from DfT road lengths publication rdl0201.  Data differs from TS data due to different methodology. NI figure from NITS.</t>
  </si>
  <si>
    <t>Total  pass km these modes</t>
  </si>
  <si>
    <t>ME</t>
  </si>
  <si>
    <t>RS</t>
  </si>
  <si>
    <r>
      <t>Notes:</t>
    </r>
    <r>
      <rPr>
        <sz val="8"/>
        <rFont val="Arial"/>
        <family val="2"/>
      </rPr>
      <t xml:space="preserve"> </t>
    </r>
  </si>
  <si>
    <t>Road : National and International Haulage (*)</t>
  </si>
  <si>
    <t>billion tkm</t>
  </si>
  <si>
    <r>
      <t>TR</t>
    </r>
    <r>
      <rPr>
        <b/>
        <vertAlign val="subscript"/>
        <sz val="8"/>
        <rFont val="Arial"/>
        <family val="2"/>
      </rPr>
      <t>(1)</t>
    </r>
  </si>
  <si>
    <r>
      <t>CH</t>
    </r>
    <r>
      <rPr>
        <b/>
        <vertAlign val="subscript"/>
        <sz val="8"/>
        <rFont val="Arial"/>
        <family val="2"/>
      </rPr>
      <t>(2)</t>
    </r>
  </si>
  <si>
    <r>
      <t xml:space="preserve">(2):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</si>
  <si>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</si>
  <si>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FI:</t>
    </r>
    <r>
      <rPr>
        <sz val="8"/>
        <rFont val="Arial"/>
        <family val="2"/>
      </rPr>
      <t xml:space="preserve"> only shipborne transport (i.e. no floating)</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</si>
  <si>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</si>
  <si>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</si>
  <si>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r>
      <t>HR</t>
    </r>
    <r>
      <rPr>
        <sz val="8"/>
        <rFont val="Arial"/>
        <family val="2"/>
      </rPr>
      <t>: data include transit traffic from 2008 onward</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</si>
  <si>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</si>
  <si>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r>
      <t>CS:</t>
    </r>
    <r>
      <rPr>
        <sz val="8"/>
        <rFont val="Arial"/>
        <family val="2"/>
      </rPr>
      <t xml:space="preserve"> 1990: 7.5</t>
    </r>
  </si>
  <si>
    <r>
      <t xml:space="preserve">DE: </t>
    </r>
    <r>
      <rPr>
        <sz val="8"/>
        <rFont val="Arial"/>
        <family val="2"/>
      </rPr>
      <t>from 1995 onwards: only crude oil (i.e. no refined petroleum products)</t>
    </r>
  </si>
  <si>
    <t>EU-28</t>
  </si>
  <si>
    <t>EU-13</t>
  </si>
  <si>
    <r>
      <t>Source:</t>
    </r>
    <r>
      <rPr>
        <sz val="8"/>
        <rFont val="Arial"/>
        <family val="2"/>
      </rPr>
      <t xml:space="preserve"> tables 2.3.4, 2.3.5, 2.3.6, 2.3.7</t>
    </r>
  </si>
  <si>
    <t>billion pkm</t>
  </si>
  <si>
    <t>CS: 1990: 43.4 (included in EU-28 and EU-13 totals)</t>
  </si>
  <si>
    <t>% under PSO (*)</t>
  </si>
  <si>
    <r>
      <t>Source</t>
    </r>
    <r>
      <rPr>
        <sz val="8"/>
        <rFont val="Arial"/>
        <family val="2"/>
      </rPr>
      <t>: Eurostat, International Transport Forum, UNECE, Union Internationale des Chemins de Fer, national statistics, estimates (</t>
    </r>
    <r>
      <rPr>
        <i/>
        <sz val="8"/>
        <rFont val="Arial"/>
        <family val="2"/>
      </rPr>
      <t>in italics</t>
    </r>
    <r>
      <rPr>
        <sz val="8"/>
        <rFont val="Arial"/>
        <family val="2"/>
      </rPr>
      <t>). Shares under PSO from Rail Market Monitoring Scheme (DG MOVE) and DG MOVE estimates.</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</si>
  <si>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</si>
  <si>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Source</t>
    </r>
    <r>
      <rPr>
        <sz val="8"/>
        <rFont val="Arial"/>
        <family val="2"/>
      </rPr>
      <t>: Eurostat, estimates (in italics)</t>
    </r>
  </si>
  <si>
    <r>
      <t>Note</t>
    </r>
    <r>
      <rPr>
        <sz val="10"/>
        <rFont val="Arial"/>
        <family val="2"/>
      </rPr>
      <t xml:space="preserve">: </t>
    </r>
  </si>
  <si>
    <t>*passengers carried are fewer than passengers on board, due to transit passengers staying on board the aircraft not being counted.</t>
  </si>
  <si>
    <r>
      <t xml:space="preserve">CS: </t>
    </r>
    <r>
      <rPr>
        <sz val="8"/>
        <rFont val="Arial"/>
        <family val="2"/>
      </rPr>
      <t>1970: 13308, 1980: 13131, 1990: 13111   (these are included in EU-28 and EU-13 totals)</t>
    </r>
  </si>
  <si>
    <r>
      <t xml:space="preserve">Stock at end of year, except for </t>
    </r>
    <r>
      <rPr>
        <b/>
        <sz val="8"/>
        <rFont val="Arial"/>
        <family val="2"/>
      </rPr>
      <t>BE:</t>
    </r>
    <r>
      <rPr>
        <sz val="8"/>
        <rFont val="Arial"/>
        <family val="2"/>
      </rPr>
      <t xml:space="preserve"> 1 August (1 July in 2012), </t>
    </r>
    <r>
      <rPr>
        <b/>
        <sz val="8"/>
        <rFont val="Arial"/>
        <family val="2"/>
      </rPr>
      <t>CH:</t>
    </r>
    <r>
      <rPr>
        <sz val="8"/>
        <rFont val="Arial"/>
        <family val="2"/>
      </rPr>
      <t xml:space="preserve"> 30 September, </t>
    </r>
    <r>
      <rPr>
        <b/>
        <sz val="8"/>
        <rFont val="Arial"/>
        <family val="2"/>
      </rPr>
      <t>LI:</t>
    </r>
    <r>
      <rPr>
        <sz val="8"/>
        <rFont val="Arial"/>
        <family val="2"/>
      </rPr>
      <t xml:space="preserve"> 1 July.</t>
    </r>
  </si>
  <si>
    <r>
      <t>Source</t>
    </r>
    <r>
      <rPr>
        <sz val="8"/>
        <rFont val="Arial"/>
        <family val="2"/>
      </rPr>
      <t xml:space="preserve">:  Eurostat, national statistics, United Nations Economic Commission for Europe, estimates </t>
    </r>
    <r>
      <rPr>
        <i/>
        <sz val="8"/>
        <rFont val="Arial"/>
        <family val="2"/>
      </rPr>
      <t>(in italics)</t>
    </r>
  </si>
  <si>
    <r>
      <t xml:space="preserve">Notes: </t>
    </r>
  </si>
  <si>
    <r>
      <t xml:space="preserve">Stock at end of year, except for </t>
    </r>
    <r>
      <rPr>
        <b/>
        <sz val="8"/>
        <rFont val="Arial"/>
        <family val="2"/>
      </rPr>
      <t>CH:</t>
    </r>
    <r>
      <rPr>
        <sz val="8"/>
        <rFont val="Arial"/>
        <family val="2"/>
      </rPr>
      <t xml:space="preserve"> 30 September, </t>
    </r>
    <r>
      <rPr>
        <b/>
        <sz val="8"/>
        <rFont val="Arial"/>
        <family val="2"/>
      </rPr>
      <t>LI:</t>
    </r>
    <r>
      <rPr>
        <sz val="8"/>
        <rFont val="Arial"/>
        <family val="2"/>
      </rPr>
      <t xml:space="preserve"> 1 July.</t>
    </r>
  </si>
  <si>
    <r>
      <t>As a rule, data include heavy and light goods vehicles, lorries and road tractors; due to varying concepts of such vehicles, data are not fully comparable between countries.</t>
    </r>
  </si>
  <si>
    <r>
      <rPr>
        <b/>
        <sz val="8"/>
        <rFont val="Arial"/>
        <family val="2"/>
      </rPr>
      <t>HR:</t>
    </r>
    <r>
      <rPr>
        <sz val="8"/>
        <rFont val="Arial"/>
        <family val="2"/>
      </rPr>
      <t xml:space="preserve"> from 2009 light vans are included in passenger cars and no longer in Goods Vehicles</t>
    </r>
  </si>
  <si>
    <r>
      <t>Source:</t>
    </r>
    <r>
      <rPr>
        <sz val="8"/>
        <rFont val="Arial"/>
        <family val="2"/>
      </rPr>
      <t xml:space="preserve"> national statistics, Association des Constructeurs Européens de Motocycles (ACEM).</t>
    </r>
  </si>
  <si>
    <r>
      <t>Notes:</t>
    </r>
  </si>
  <si>
    <r>
      <t xml:space="preserve">Stock at end of year, except for </t>
    </r>
    <r>
      <rPr>
        <b/>
        <sz val="8"/>
        <rFont val="Arial"/>
        <family val="2"/>
      </rPr>
      <t>BE:</t>
    </r>
    <r>
      <rPr>
        <sz val="8"/>
        <rFont val="Arial"/>
        <family val="2"/>
      </rPr>
      <t xml:space="preserve"> 1 August, </t>
    </r>
    <r>
      <rPr>
        <b/>
        <sz val="8"/>
        <rFont val="Arial"/>
        <family val="2"/>
      </rPr>
      <t>CH:</t>
    </r>
    <r>
      <rPr>
        <sz val="8"/>
        <rFont val="Arial"/>
        <family val="2"/>
      </rPr>
      <t xml:space="preserve"> 30 September, </t>
    </r>
    <r>
      <rPr>
        <b/>
        <sz val="8"/>
        <rFont val="Arial"/>
        <family val="2"/>
      </rPr>
      <t>LI:</t>
    </r>
    <r>
      <rPr>
        <sz val="8"/>
        <rFont val="Arial"/>
        <family val="2"/>
      </rPr>
      <t xml:space="preserve"> 1 July.</t>
    </r>
  </si>
  <si>
    <r>
      <t>National vehicle stock data do not always include all powered two-wheelers and are therefore not fully comparable between countries.</t>
    </r>
  </si>
  <si>
    <r>
      <t>Tricycles and quads are sometimes included in the data.</t>
    </r>
  </si>
  <si>
    <r>
      <t xml:space="preserve">Break in time series due to inclusion of mopeds from 2001 in </t>
    </r>
    <r>
      <rPr>
        <b/>
        <sz val="8"/>
        <rFont val="Arial"/>
        <family val="2"/>
      </rPr>
      <t>ES</t>
    </r>
    <r>
      <rPr>
        <sz val="8"/>
        <rFont val="Arial"/>
        <family val="2"/>
      </rPr>
      <t xml:space="preserve">, from 2002 in </t>
    </r>
    <r>
      <rPr>
        <b/>
        <sz val="8"/>
        <rFont val="Arial"/>
        <family val="2"/>
      </rPr>
      <t xml:space="preserve">SI </t>
    </r>
    <r>
      <rPr>
        <sz val="8"/>
        <rFont val="Arial"/>
        <family val="2"/>
      </rPr>
      <t xml:space="preserve">and </t>
    </r>
    <r>
      <rPr>
        <b/>
        <sz val="8"/>
        <rFont val="Arial"/>
        <family val="2"/>
      </rPr>
      <t>HR</t>
    </r>
    <r>
      <rPr>
        <sz val="8"/>
        <rFont val="Arial"/>
        <family val="2"/>
      </rPr>
      <t xml:space="preserve">, from 2004 in </t>
    </r>
    <r>
      <rPr>
        <b/>
        <sz val="8"/>
        <rFont val="Arial"/>
        <family val="2"/>
      </rPr>
      <t>LV</t>
    </r>
    <r>
      <rPr>
        <sz val="8"/>
        <rFont val="Arial"/>
        <family val="2"/>
      </rPr>
      <t xml:space="preserve">, from 2005 in </t>
    </r>
    <r>
      <rPr>
        <b/>
        <sz val="8"/>
        <rFont val="Arial"/>
        <family val="2"/>
      </rPr>
      <t>PL</t>
    </r>
    <r>
      <rPr>
        <sz val="8"/>
        <rFont val="Arial"/>
        <family val="2"/>
      </rPr>
      <t xml:space="preserve">, from 2007 in </t>
    </r>
    <r>
      <rPr>
        <b/>
        <sz val="8"/>
        <rFont val="Arial"/>
        <family val="2"/>
      </rPr>
      <t xml:space="preserve">LT, </t>
    </r>
    <r>
      <rPr>
        <sz val="8"/>
        <rFont val="Arial"/>
        <family val="2"/>
      </rPr>
      <t xml:space="preserve">from 2011 in </t>
    </r>
    <r>
      <rPr>
        <b/>
        <sz val="8"/>
        <rFont val="Arial"/>
        <family val="2"/>
      </rPr>
      <t>EE</t>
    </r>
  </si>
  <si>
    <r>
      <t>Source</t>
    </r>
    <r>
      <rPr>
        <sz val="8"/>
        <rFont val="Arial"/>
        <family val="2"/>
      </rPr>
      <t xml:space="preserve">: Association des Constructeurs Européens d'Automobiles (ACEA), national sources, estimates </t>
    </r>
    <r>
      <rPr>
        <i/>
        <sz val="8"/>
        <rFont val="Arial"/>
        <family val="2"/>
      </rPr>
      <t>(italics)</t>
    </r>
  </si>
  <si>
    <t xml:space="preserve">EU-28  </t>
  </si>
  <si>
    <t>GB figure from VEH0102.  UK figure is GB figure plus NI total taken from Table 1.7 of NITS 2012-13</t>
  </si>
  <si>
    <t>GB figure from TSGB0902. NI data from NITS table 1.7</t>
  </si>
  <si>
    <r>
      <t>2.3.4 *</t>
    </r>
    <r>
      <rPr>
        <vertAlign val="superscript"/>
        <sz val="12"/>
        <rFont val="Arial"/>
        <family val="2"/>
      </rPr>
      <t xml:space="preserve"> &amp;</t>
    </r>
  </si>
  <si>
    <r>
      <t xml:space="preserve">2.3.5 * </t>
    </r>
    <r>
      <rPr>
        <vertAlign val="superscript"/>
        <sz val="12"/>
        <rFont val="Arial"/>
        <family val="2"/>
      </rPr>
      <t>&amp;</t>
    </r>
    <r>
      <rPr>
        <sz val="12"/>
        <rFont val="Arial"/>
        <family val="2"/>
      </rPr>
      <t xml:space="preserve"> </t>
    </r>
  </si>
  <si>
    <r>
      <t xml:space="preserve">2.3.6 * </t>
    </r>
    <r>
      <rPr>
        <vertAlign val="superscript"/>
        <sz val="12"/>
        <rFont val="Arial"/>
        <family val="2"/>
      </rPr>
      <t>&amp;</t>
    </r>
  </si>
  <si>
    <r>
      <t xml:space="preserve">2.3.7 * </t>
    </r>
    <r>
      <rPr>
        <vertAlign val="superscript"/>
        <sz val="12"/>
        <rFont val="Arial"/>
        <family val="2"/>
      </rPr>
      <t>&amp;</t>
    </r>
  </si>
  <si>
    <t xml:space="preserve">( # )  ( + )  ( @ )  ( $ )  (^)  ( * )  ( ** )  ( *** )  (&amp;) -  see footnotes </t>
  </si>
  <si>
    <t>(&amp;)</t>
  </si>
  <si>
    <t>National Travel Survey data is only collected for England now. Figures for Scotland and GB are for the last time they were available in 2012.</t>
  </si>
  <si>
    <t>UK figure is for GB only.</t>
  </si>
  <si>
    <t>Update Scotland from summary table TH2b</t>
  </si>
  <si>
    <t>NI data from NITS table 1.11 when published</t>
  </si>
  <si>
    <r>
      <t xml:space="preserve">Passenger transport </t>
    </r>
    <r>
      <rPr>
        <b/>
        <vertAlign val="superscript"/>
        <sz val="12"/>
        <rFont val="Arial"/>
        <family val="2"/>
      </rPr>
      <t>&amp;</t>
    </r>
  </si>
  <si>
    <r>
      <t xml:space="preserve">Modal shares </t>
    </r>
    <r>
      <rPr>
        <b/>
        <vertAlign val="superscript"/>
        <sz val="12"/>
        <rFont val="Arial"/>
        <family val="2"/>
      </rPr>
      <t>&amp;</t>
    </r>
    <r>
      <rPr>
        <b/>
        <sz val="12"/>
        <rFont val="Arial"/>
        <family val="2"/>
      </rPr>
      <t xml:space="preserve"> </t>
    </r>
    <r>
      <rPr>
        <sz val="12"/>
        <rFont val="Arial"/>
        <family val="2"/>
      </rPr>
      <t>(% of total pass-kms for specified modes)</t>
    </r>
  </si>
  <si>
    <t>GB figure from table TSGB0601 of TSGB 2013. UK figure is GB figure plus NI figure from NITS 2013-14 Table 6.5</t>
  </si>
  <si>
    <t>GB figure from TSGB0102.  UK figure includes NI data from Table 1.7 of NITS 2013-14</t>
  </si>
  <si>
    <t>n/a</t>
  </si>
  <si>
    <t>Note NTS only covers England nuw.  Scotland and GB figures are those that were published in 2012.</t>
  </si>
  <si>
    <t>SL</t>
  </si>
  <si>
    <t>in PPS</t>
  </si>
  <si>
    <r>
      <t>1 000 km</t>
    </r>
    <r>
      <rPr>
        <b/>
        <vertAlign val="superscript"/>
        <sz val="7"/>
        <rFont val="Arial"/>
        <family val="2"/>
      </rPr>
      <t>2</t>
    </r>
  </si>
  <si>
    <t xml:space="preserve">billion € </t>
  </si>
  <si>
    <t>EU-28 = 100</t>
  </si>
  <si>
    <t>on 1/1/2014</t>
  </si>
  <si>
    <t>AL</t>
  </si>
  <si>
    <r>
      <t>Source</t>
    </r>
    <r>
      <rPr>
        <sz val="8"/>
        <rFont val="Arial"/>
        <family val="2"/>
      </rPr>
      <t>:  Eurostat, national sources, provisional or estimated data from Eurostat</t>
    </r>
    <r>
      <rPr>
        <i/>
        <sz val="8"/>
        <rFont val="Arial"/>
        <family val="2"/>
      </rPr>
      <t xml:space="preserve"> in italics</t>
    </r>
    <r>
      <rPr>
        <sz val="8"/>
        <rFont val="Arial"/>
        <family val="2"/>
      </rPr>
      <t xml:space="preserve">. </t>
    </r>
  </si>
  <si>
    <r>
      <t xml:space="preserve">CY: </t>
    </r>
    <r>
      <rPr>
        <sz val="8"/>
        <rFont val="Arial"/>
        <family val="2"/>
      </rPr>
      <t>Area refers to the whole island.</t>
    </r>
    <r>
      <rPr>
        <b/>
        <sz val="8"/>
        <rFont val="Arial"/>
        <family val="2"/>
      </rPr>
      <t xml:space="preserve"> FR</t>
    </r>
    <r>
      <rPr>
        <sz val="8"/>
        <rFont val="Arial"/>
        <family val="2"/>
      </rPr>
      <t>: Area and population only cover mainland France ("France métropolitaine"). The 4 French overseas departments Guyane, Martinique, Guadeloupe and La Réunion, which are part of the EU, have a combined area of 88 794 km</t>
    </r>
    <r>
      <rPr>
        <vertAlign val="superscript"/>
        <sz val="8"/>
        <rFont val="Arial"/>
        <family val="2"/>
      </rPr>
      <t>2</t>
    </r>
    <r>
      <rPr>
        <sz val="8"/>
        <rFont val="Arial"/>
        <family val="2"/>
      </rPr>
      <t xml:space="preserve"> and a population of around 1.9 million. The total area of the EU therefore is 4 470.2 thousand km</t>
    </r>
    <r>
      <rPr>
        <vertAlign val="superscript"/>
        <sz val="8"/>
        <rFont val="Arial"/>
        <family val="2"/>
      </rPr>
      <t>2</t>
    </r>
    <r>
      <rPr>
        <sz val="8"/>
        <rFont val="Arial"/>
        <family val="2"/>
      </rPr>
      <t>, its total population on 1 January 2014 was 507.4 million.</t>
    </r>
  </si>
  <si>
    <r>
      <t xml:space="preserve">Data on GDP has been updated according to the new ESA2010 methodology when available, unless for </t>
    </r>
    <r>
      <rPr>
        <b/>
        <sz val="8"/>
        <rFont val="Arial"/>
        <family val="2"/>
      </rPr>
      <t>AL</t>
    </r>
    <r>
      <rPr>
        <sz val="8"/>
        <rFont val="Arial"/>
        <family val="2"/>
      </rPr>
      <t xml:space="preserve">, </t>
    </r>
    <r>
      <rPr>
        <b/>
        <sz val="8"/>
        <rFont val="Arial"/>
        <family val="2"/>
      </rPr>
      <t>ME</t>
    </r>
    <r>
      <rPr>
        <sz val="8"/>
        <rFont val="Arial"/>
        <family val="2"/>
      </rPr>
      <t xml:space="preserve"> and </t>
    </r>
    <r>
      <rPr>
        <b/>
        <sz val="8"/>
        <rFont val="Arial"/>
        <family val="2"/>
      </rPr>
      <t>TR</t>
    </r>
    <r>
      <rPr>
        <sz val="8"/>
        <rFont val="Arial"/>
        <family val="2"/>
      </rPr>
      <t xml:space="preserve"> which are based on national sources or according the previous ESA95.</t>
    </r>
  </si>
  <si>
    <t>change 12/13</t>
  </si>
  <si>
    <r>
      <t>IS</t>
    </r>
    <r>
      <rPr>
        <b/>
        <vertAlign val="subscript"/>
        <sz val="8"/>
        <rFont val="Arial"/>
        <family val="2"/>
      </rPr>
      <t>(1)</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</si>
  <si>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t>
    </r>
  </si>
  <si>
    <r>
      <t xml:space="preserve">(1): </t>
    </r>
    <r>
      <rPr>
        <b/>
        <sz val="8"/>
        <rFont val="Arial"/>
        <family val="2"/>
      </rPr>
      <t>TR, IS</t>
    </r>
    <r>
      <rPr>
        <sz val="8"/>
        <rFont val="Arial"/>
        <family val="2"/>
      </rPr>
      <t xml:space="preserve">: national transport only. </t>
    </r>
  </si>
  <si>
    <r>
      <rPr>
        <b/>
        <sz val="8"/>
        <rFont val="Arial"/>
        <family val="2"/>
      </rPr>
      <t>LU</t>
    </r>
    <r>
      <rPr>
        <sz val="8"/>
        <rFont val="Arial"/>
        <family val="2"/>
      </rPr>
      <t xml:space="preserve"> values based on quarterly data. 
</t>
    </r>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</si>
  <si>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</si>
  <si>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</si>
  <si>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t>Pipelines - Oil</t>
  </si>
  <si>
    <t xml:space="preserve">Data are not harmonised and therefore not fully comparable; in most countries, only pipelines longer than 40km are included. Data refers to oil pipelines. </t>
  </si>
  <si>
    <t>EU28_EXTRA</t>
  </si>
  <si>
    <t>Jan.-Dec. 2013</t>
  </si>
  <si>
    <t xml:space="preserve">If powered two-wheelers are included, they account for 2.14% of the total in EU-28 (2.09% in EU-15, 2.47% in EU-13), while the share of the other modes becomes: </t>
  </si>
  <si>
    <t>Data are not harmonised and therefore not fully comparable. 2013 data may be provisional. Generally vans are not considered in this table, but there may be exceptions.</t>
  </si>
  <si>
    <r>
      <t>FR:</t>
    </r>
    <r>
      <rPr>
        <sz val="8"/>
        <rFont val="Arial"/>
        <family val="2"/>
      </rPr>
      <t xml:space="preserve"> passenger-km include transport activity on the territory of vehicles not registered in France. Includes foreign vans.</t>
    </r>
  </si>
  <si>
    <t>Data are not harmonised and therefore not fully comparable. Many data for 2013 are provisional.</t>
  </si>
  <si>
    <r>
      <t>Notes:</t>
    </r>
    <r>
      <rPr>
        <sz val="8"/>
        <rFont val="Arial"/>
        <family val="2"/>
      </rPr>
      <t xml:space="preserve">  </t>
    </r>
    <r>
      <rPr>
        <b/>
        <sz val="8"/>
        <rFont val="Arial"/>
        <family val="2"/>
      </rPr>
      <t>BE</t>
    </r>
    <r>
      <rPr>
        <sz val="8"/>
        <rFont val="Arial"/>
        <family val="2"/>
      </rPr>
      <t xml:space="preserve"> 2010 and 2012 pkm values based on quarter data from Eurostat. These figures may exclude some railway undertakings not obliged to detailed quarter reporting. </t>
    </r>
    <r>
      <rPr>
        <b/>
        <sz val="8"/>
        <rFont val="Arial"/>
        <family val="2"/>
      </rPr>
      <t>UK</t>
    </r>
    <r>
      <rPr>
        <sz val="8"/>
        <rFont val="Arial"/>
        <family val="2"/>
      </rPr>
      <t xml:space="preserve"> share of PSO excludes Northern Ireland.</t>
    </r>
  </si>
  <si>
    <r>
      <t>Source</t>
    </r>
    <r>
      <rPr>
        <sz val="8"/>
        <rFont val="Arial"/>
        <family val="2"/>
      </rPr>
      <t>: Eurostat, International Road Federation, United Nations Economic Commission for Europe, ASECAP statistical bulletin, national statistics, estimates (</t>
    </r>
    <r>
      <rPr>
        <i/>
        <sz val="8"/>
        <rFont val="Arial"/>
        <family val="2"/>
      </rPr>
      <t>in italics</t>
    </r>
    <r>
      <rPr>
        <sz val="8"/>
        <rFont val="Arial"/>
        <family val="2"/>
      </rPr>
      <t xml:space="preserve">) </t>
    </r>
  </si>
  <si>
    <r>
      <t>UK:</t>
    </r>
    <r>
      <rPr>
        <sz val="8"/>
        <rFont val="Arial"/>
        <family val="2"/>
      </rPr>
      <t xml:space="preserve"> data refers to the 1st of April of the next year.</t>
    </r>
  </si>
  <si>
    <r>
      <t xml:space="preserve">km at the end of </t>
    </r>
    <r>
      <rPr>
        <b/>
        <sz val="10"/>
        <rFont val="Arial"/>
        <family val="2"/>
      </rPr>
      <t>2012</t>
    </r>
  </si>
  <si>
    <r>
      <t>Source</t>
    </r>
    <r>
      <rPr>
        <sz val="8"/>
        <rFont val="Arial"/>
        <family val="2"/>
      </rPr>
      <t xml:space="preserve">:  Eurostat, International Road Federation, national statistics, estimates </t>
    </r>
    <r>
      <rPr>
        <i/>
        <sz val="8"/>
        <rFont val="Arial"/>
        <family val="2"/>
      </rPr>
      <t>(in italics</t>
    </r>
    <r>
      <rPr>
        <sz val="8"/>
        <rFont val="Arial"/>
        <family val="2"/>
      </rPr>
      <t>)</t>
    </r>
  </si>
  <si>
    <r>
      <t>BE</t>
    </r>
    <r>
      <rPr>
        <sz val="8"/>
        <rFont val="Arial"/>
        <family val="2"/>
      </rPr>
      <t xml:space="preserve"> end of 2009 </t>
    </r>
    <r>
      <rPr>
        <b/>
        <sz val="8"/>
        <rFont val="Arial"/>
        <family val="2"/>
      </rPr>
      <t xml:space="preserve">EL </t>
    </r>
    <r>
      <rPr>
        <sz val="8"/>
        <rFont val="Arial"/>
        <family val="2"/>
      </rPr>
      <t xml:space="preserve">end of 2010 </t>
    </r>
    <r>
      <rPr>
        <b/>
        <sz val="8"/>
        <rFont val="Arial"/>
        <family val="2"/>
      </rPr>
      <t>UK</t>
    </r>
    <r>
      <rPr>
        <sz val="8"/>
        <rFont val="Arial"/>
        <family val="2"/>
      </rPr>
      <t xml:space="preserve"> 1st of April 2013 </t>
    </r>
    <r>
      <rPr>
        <b/>
        <sz val="8"/>
        <rFont val="Arial"/>
        <family val="2"/>
      </rPr>
      <t>IS</t>
    </r>
    <r>
      <rPr>
        <sz val="8"/>
        <rFont val="Arial"/>
        <family val="2"/>
      </rPr>
      <t xml:space="preserve"> end of 2011</t>
    </r>
  </si>
  <si>
    <t>change 13/14 (%)</t>
  </si>
  <si>
    <r>
      <t xml:space="preserve">Notes: RO </t>
    </r>
    <r>
      <rPr>
        <sz val="8"/>
        <rFont val="Arial"/>
        <family val="2"/>
      </rPr>
      <t>based on sales.</t>
    </r>
  </si>
  <si>
    <t>change 01/13</t>
  </si>
  <si>
    <t>Scotland STS table 8.3(a) UK DfT aviation statistics table AV10105</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</si>
</sst>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
    <numFmt numFmtId="168" formatCode="0.00000"/>
    <numFmt numFmtId="169" formatCode="0.0000"/>
    <numFmt numFmtId="170" formatCode="_-* #,##0.0_-;\-* #,##0.0_-;_-* &quot;-&quot;??_-;_-@_-"/>
    <numFmt numFmtId="171" formatCode="_-* #,##0_-;\-* #,##0_-;_-* &quot;-&quot;??_-;_-@_-"/>
    <numFmt numFmtId="172" formatCode="#,##0.0000"/>
    <numFmt numFmtId="173" formatCode="General_)"/>
    <numFmt numFmtId="174" formatCode="#,##0.0_);\(#,##0.0\)"/>
    <numFmt numFmtId="175" formatCode="#,##0\ "/>
    <numFmt numFmtId="176" formatCode="##0\ "/>
    <numFmt numFmtId="177" formatCode="#,##0.0\ "/>
    <numFmt numFmtId="178" formatCode="0.0\ \ \ \ "/>
    <numFmt numFmtId="179" formatCode="0.0\ \ \ "/>
    <numFmt numFmtId="180" formatCode="_-* #,##0.0_-;\-* #,##0.0_-;_-* &quot;-&quot;_-;_-@_-"/>
    <numFmt numFmtId="181" formatCode="#,##0.00\ "/>
    <numFmt numFmtId="182" formatCode="0.000000"/>
    <numFmt numFmtId="183" formatCode="0.0000000"/>
    <numFmt numFmtId="184" formatCode="_-* #,##0.000_-;\-* #,##0.000_-;_-* &quot;-&quot;??_-;_-@_-"/>
    <numFmt numFmtId="185" formatCode="[&gt;0.5]#,##0;[&lt;-0.5]\-#,##0;\-"/>
    <numFmt numFmtId="186" formatCode="#,##0_ ;\-#,##0\ "/>
    <numFmt numFmtId="187" formatCode="&quot;Yes&quot;;&quot;Yes&quot;;&quot;No&quot;"/>
    <numFmt numFmtId="188" formatCode="&quot;True&quot;;&quot;True&quot;;&quot;False&quot;"/>
    <numFmt numFmtId="189" formatCode="&quot;On&quot;;&quot;On&quot;;&quot;Off&quot;"/>
    <numFmt numFmtId="190" formatCode="[$€-2]\ #,##0.00_);[Red]\([$€-2]\ #,##0.00\)"/>
    <numFmt numFmtId="191" formatCode="_-* #,##0.0_-;\-* #,##0.0_-;_-* &quot;-&quot;?_-;_-@_-"/>
    <numFmt numFmtId="192" formatCode="_-* #,##0.0000_-;\-* #,##0.0000_-;_-* &quot;-&quot;??_-;_-@_-"/>
    <numFmt numFmtId="193" formatCode="_-* #,##0.00000_-;\-* #,##0.00000_-;_-* &quot;-&quot;??_-;_-@_-"/>
    <numFmt numFmtId="194" formatCode="0.0%"/>
    <numFmt numFmtId="195" formatCode="#\ ##0"/>
    <numFmt numFmtId="196" formatCode="0.0\ "/>
    <numFmt numFmtId="197" formatCode="\-"/>
    <numFmt numFmtId="198" formatCode="_-* #,##0.00_-;\-* #,##0.00_-;_-* &quot;-&quot;?_-;_-@_-"/>
    <numFmt numFmtId="199" formatCode="_-* #,##0_-;\-* #,##0_-;_-* &quot;-&quot;?_-;_-@_-"/>
    <numFmt numFmtId="200" formatCode="#,##0.0_ ;\-#,##0.0\ "/>
    <numFmt numFmtId="201" formatCode="#\ ###"/>
    <numFmt numFmtId="202" formatCode="##0\ \ "/>
    <numFmt numFmtId="203" formatCode="#,##0_);\-#,##0;&quot;-  &quot;;&quot;...  &quot;"/>
    <numFmt numFmtId="204" formatCode="#,##0.0\ \ "/>
    <numFmt numFmtId="205" formatCode="#,###,##0"/>
    <numFmt numFmtId="206" formatCode="0.00\ "/>
    <numFmt numFmtId="207" formatCode="_-* #,##0.00\ _F_t_-;\-* #,##0.00\ _F_t_-;_-* &quot;-&quot;??\ _F_t_-;_-@_-"/>
    <numFmt numFmtId="208" formatCode="0.0_ ;[Red]\-0.0\ "/>
    <numFmt numFmtId="209" formatCode="_-* #,##0.000000_-;\-* #,##0.000000_-;_-* &quot;-&quot;??????_-;_-@_-"/>
    <numFmt numFmtId="210" formatCode="#\ ##0.0"/>
    <numFmt numFmtId="211" formatCode="#\ ##0.0"/>
    <numFmt numFmtId="212" formatCode="#\ ##0"/>
    <numFmt numFmtId="213" formatCode="#\ ##0\ "/>
    <numFmt numFmtId="214" formatCode="dd\.mm\.yy"/>
    <numFmt numFmtId="215" formatCode="[&gt;=0.5]#,##0.0;[=0]0.0,;&quot;-&quot;"/>
    <numFmt numFmtId="216" formatCode="#,##0_);\(#,##0\)"/>
    <numFmt numFmtId="217" formatCode="_-* #,##0.000_-;\-* #,##0.000_-;_-* &quot;-&quot;???_-;_-@_-"/>
    <numFmt numFmtId="218" formatCode="_-* #,##0.00_L_e_k_-;\-* #,##0.00_L_e_k_-;_-* &quot;-&quot;??_L_e_k_-;_-@_-"/>
    <numFmt numFmtId="219" formatCode="#\ ##0.0"/>
    <numFmt numFmtId="220" formatCode="#\ ##0\ "/>
  </numFmts>
  <fonts count="77">
    <font>
      <sz val="10"/>
      <name val="Arial"/>
      <family val="0"/>
    </font>
    <font>
      <sz val="8"/>
      <name val="Arial"/>
      <family val="2"/>
    </font>
    <font>
      <sz val="14"/>
      <name val="Arial"/>
      <family val="2"/>
    </font>
    <font>
      <b/>
      <sz val="10"/>
      <color indexed="8"/>
      <name val="Arial"/>
      <family val="2"/>
    </font>
    <font>
      <u val="single"/>
      <sz val="7.5"/>
      <color indexed="12"/>
      <name val="Arial"/>
      <family val="2"/>
    </font>
    <font>
      <u val="single"/>
      <sz val="7.5"/>
      <color indexed="36"/>
      <name val="Arial"/>
      <family val="2"/>
    </font>
    <font>
      <i/>
      <sz val="10"/>
      <name val="Arial"/>
      <family val="2"/>
    </font>
    <font>
      <b/>
      <sz val="10"/>
      <color indexed="18"/>
      <name val="Arial"/>
      <family val="2"/>
    </font>
    <font>
      <b/>
      <sz val="12"/>
      <name val="Arial"/>
      <family val="2"/>
    </font>
    <font>
      <sz val="12"/>
      <name val="Arial"/>
      <family val="2"/>
    </font>
    <font>
      <i/>
      <sz val="12"/>
      <name val="Arial"/>
      <family val="2"/>
    </font>
    <font>
      <b/>
      <vertAlign val="superscript"/>
      <sz val="12"/>
      <name val="Arial"/>
      <family val="2"/>
    </font>
    <font>
      <sz val="11"/>
      <name val="Arial"/>
      <family val="2"/>
    </font>
    <font>
      <b/>
      <sz val="14"/>
      <name val="Arial"/>
      <family val="2"/>
    </font>
    <font>
      <b/>
      <sz val="10"/>
      <name val="Arial"/>
      <family val="2"/>
    </font>
    <font>
      <b/>
      <sz val="8"/>
      <name val="Arial"/>
      <family val="2"/>
    </font>
    <font>
      <b/>
      <sz val="7"/>
      <name val="Arial"/>
      <family val="2"/>
    </font>
    <font>
      <i/>
      <sz val="8"/>
      <name val="Arial"/>
      <family val="2"/>
    </font>
    <font>
      <b/>
      <i/>
      <sz val="8"/>
      <name val="Arial"/>
      <family val="2"/>
    </font>
    <font>
      <b/>
      <sz val="9"/>
      <name val="Arial"/>
      <family val="2"/>
    </font>
    <font>
      <b/>
      <sz val="8"/>
      <color indexed="10"/>
      <name val="Arial"/>
      <family val="2"/>
    </font>
    <font>
      <sz val="8"/>
      <color indexed="10"/>
      <name val="Arial"/>
      <family val="2"/>
    </font>
    <font>
      <sz val="10"/>
      <name val="MS Sans Serif"/>
      <family val="2"/>
    </font>
    <font>
      <sz val="10"/>
      <name val="Times New Roman CE"/>
      <family val="0"/>
    </font>
    <font>
      <b/>
      <vertAlign val="superscript"/>
      <sz val="7"/>
      <name val="Arial"/>
      <family val="2"/>
    </font>
    <font>
      <vertAlign val="superscript"/>
      <sz val="8"/>
      <name val="Arial"/>
      <family val="2"/>
    </font>
    <font>
      <b/>
      <vertAlign val="subscript"/>
      <sz val="8"/>
      <name val="Arial"/>
      <family val="2"/>
    </font>
    <font>
      <b/>
      <sz val="8"/>
      <color indexed="9"/>
      <name val="Arial"/>
      <family val="2"/>
    </font>
    <font>
      <vertAlign val="superscrip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sz val="12"/>
      <color indexed="10"/>
      <name val="Arial"/>
      <family val="2"/>
    </font>
    <font>
      <sz val="12"/>
      <color indexed="8"/>
      <name val="Arial"/>
      <family val="2"/>
    </font>
    <font>
      <b/>
      <sz val="12"/>
      <color indexed="8"/>
      <name val="Arial"/>
      <family val="2"/>
    </font>
    <font>
      <b/>
      <sz val="11"/>
      <color indexed="8"/>
      <name val="Calibri"/>
      <family val="2"/>
    </font>
    <font>
      <sz val="10"/>
      <color indexed="12"/>
      <name val="Arial"/>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rgb="FF000000"/>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
      <sz val="12"/>
      <color theme="1"/>
      <name val="Arial"/>
      <family val="2"/>
    </font>
    <font>
      <b/>
      <sz val="12"/>
      <color theme="1"/>
      <name val="Arial"/>
      <family val="2"/>
    </font>
    <font>
      <b/>
      <sz val="11"/>
      <color rgb="FF000000"/>
      <name val="Calibri"/>
      <family val="2"/>
    </font>
    <font>
      <sz val="10"/>
      <color rgb="FF0000FF"/>
      <name val="Arial"/>
      <family val="2"/>
    </font>
    <font>
      <sz val="11"/>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indexed="43"/>
        <bgColor indexed="64"/>
      </patternFill>
    </fill>
    <fill>
      <patternFill patternType="solid">
        <fgColor rgb="FF0070C0"/>
        <bgColor indexed="64"/>
      </patternFill>
    </fill>
    <fill>
      <patternFill patternType="solid">
        <fgColor theme="0"/>
        <bgColor indexed="64"/>
      </patternFill>
    </fill>
    <fill>
      <patternFill patternType="solid">
        <fgColor indexed="46"/>
        <bgColor indexed="64"/>
      </patternFill>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style="thin"/>
      <top/>
      <bottom/>
    </border>
    <border>
      <left style="thin"/>
      <right style="thin"/>
      <top style="thin"/>
      <bottom/>
    </border>
    <border>
      <left style="thin"/>
      <right/>
      <top style="thin"/>
      <bottom/>
    </border>
    <border>
      <left/>
      <right/>
      <top style="thin"/>
      <bottom/>
    </border>
    <border>
      <left style="thin"/>
      <right style="thin"/>
      <top/>
      <bottom/>
    </border>
    <border>
      <left style="thin"/>
      <right style="thin"/>
      <top/>
      <bottom style="thin"/>
    </border>
    <border>
      <left/>
      <right style="thin"/>
      <top style="thin"/>
      <bottom/>
    </border>
    <border>
      <left style="thin"/>
      <right/>
      <top/>
      <bottom style="thin"/>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ck"/>
      <top/>
      <bottom/>
    </border>
    <border>
      <left style="thick"/>
      <right/>
      <top/>
      <bottom/>
    </border>
    <border>
      <left style="thin"/>
      <right style="thick"/>
      <top/>
      <bottom style="thin"/>
    </border>
    <border>
      <left style="hair"/>
      <right/>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right style="thick"/>
      <top/>
      <bottom style="thin"/>
    </border>
    <border>
      <left style="thick"/>
      <right/>
      <top style="thin"/>
      <bottom/>
    </border>
    <border>
      <left style="thin">
        <color indexed="8"/>
      </left>
      <right style="thin">
        <color indexed="8"/>
      </right>
      <top style="thin">
        <color indexed="8"/>
      </top>
      <bottom style="thin">
        <color indexed="8"/>
      </bottom>
    </border>
    <border>
      <left style="thick"/>
      <right/>
      <top/>
      <bottom style="thin"/>
    </border>
    <border>
      <left style="thin"/>
      <right style="thin"/>
      <top style="medium"/>
      <bottom/>
    </border>
    <border>
      <left style="thick"/>
      <right style="thin"/>
      <top/>
      <bottom/>
    </border>
    <border>
      <left style="thin"/>
      <right style="thin"/>
      <top/>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7" fontId="23" fillId="0" borderId="0" applyFont="0" applyFill="0" applyBorder="0" applyAlignment="0" applyProtection="0"/>
    <xf numFmtId="218" fontId="5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0" applyNumberFormat="0" applyBorder="0" applyAlignment="0" applyProtection="0"/>
    <xf numFmtId="185" fontId="2" fillId="0" borderId="0">
      <alignment horizontal="left" vertical="center"/>
      <protection/>
    </xf>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6" fillId="0" borderId="0" applyNumberFormat="0" applyBorder="0" applyAlignment="0">
      <protection/>
    </xf>
    <xf numFmtId="0" fontId="5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22" fillId="0" borderId="0">
      <alignment/>
      <protection/>
    </xf>
    <xf numFmtId="0" fontId="57" fillId="0" borderId="0">
      <alignment/>
      <protection/>
    </xf>
    <xf numFmtId="0" fontId="23" fillId="0" borderId="0">
      <alignment/>
      <protection/>
    </xf>
    <xf numFmtId="0" fontId="12" fillId="0" borderId="0">
      <alignment/>
      <protection/>
    </xf>
    <xf numFmtId="0" fontId="57" fillId="0" borderId="0">
      <alignment/>
      <protection/>
    </xf>
    <xf numFmtId="0" fontId="12" fillId="0" borderId="0">
      <alignment/>
      <protection/>
    </xf>
    <xf numFmtId="0" fontId="57"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1" fillId="0" borderId="0">
      <alignment/>
      <protection/>
    </xf>
    <xf numFmtId="0" fontId="68" fillId="0" borderId="0" applyNumberFormat="0" applyFill="0" applyBorder="0" applyAlignment="0" applyProtection="0"/>
    <xf numFmtId="0" fontId="7" fillId="33" borderId="0" applyNumberFormat="0" applyBorder="0">
      <alignment/>
      <protection locked="0"/>
    </xf>
    <xf numFmtId="0" fontId="69" fillId="0" borderId="9" applyNumberFormat="0" applyFill="0" applyAlignment="0" applyProtection="0"/>
    <xf numFmtId="0" fontId="3" fillId="34" borderId="0" applyNumberFormat="0" applyBorder="0">
      <alignment/>
      <protection locked="0"/>
    </xf>
    <xf numFmtId="0" fontId="70" fillId="0" borderId="0" applyNumberFormat="0" applyFill="0" applyBorder="0" applyAlignment="0" applyProtection="0"/>
  </cellStyleXfs>
  <cellXfs count="1135">
    <xf numFmtId="0" fontId="0" fillId="0" borderId="0" xfId="0" applyAlignment="1">
      <alignment/>
    </xf>
    <xf numFmtId="0" fontId="8" fillId="0" borderId="0" xfId="0" applyFont="1" applyFill="1" applyBorder="1" applyAlignment="1">
      <alignment/>
    </xf>
    <xf numFmtId="0" fontId="9"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8" fillId="0" borderId="10" xfId="0" applyFont="1" applyFill="1" applyBorder="1" applyAlignment="1">
      <alignment/>
    </xf>
    <xf numFmtId="0" fontId="9" fillId="0" borderId="10" xfId="0" applyFont="1" applyFill="1" applyBorder="1" applyAlignment="1">
      <alignment/>
    </xf>
    <xf numFmtId="0" fontId="9" fillId="35" borderId="0" xfId="0" applyFont="1" applyFill="1" applyAlignment="1">
      <alignment/>
    </xf>
    <xf numFmtId="0" fontId="9" fillId="0" borderId="0" xfId="0" applyFont="1" applyFill="1" applyAlignment="1">
      <alignment textRotation="90" wrapText="1"/>
    </xf>
    <xf numFmtId="0" fontId="9" fillId="0" borderId="0" xfId="0" applyFont="1" applyFill="1" applyAlignment="1">
      <alignment vertical="top" textRotation="90" wrapText="1"/>
    </xf>
    <xf numFmtId="0" fontId="8" fillId="0" borderId="0" xfId="0" applyFont="1" applyFill="1" applyAlignment="1">
      <alignment horizontal="center" textRotation="90" wrapText="1"/>
    </xf>
    <xf numFmtId="0" fontId="8" fillId="0" borderId="0" xfId="0" applyFont="1" applyFill="1" applyAlignment="1">
      <alignment textRotation="90" wrapText="1"/>
    </xf>
    <xf numFmtId="0" fontId="8" fillId="0" borderId="0" xfId="0" applyFont="1" applyFill="1" applyAlignment="1">
      <alignment horizontal="center"/>
    </xf>
    <xf numFmtId="0" fontId="9" fillId="0" borderId="0" xfId="0" applyFont="1" applyFill="1" applyAlignment="1">
      <alignment horizontal="center"/>
    </xf>
    <xf numFmtId="0" fontId="9" fillId="0" borderId="0" xfId="0" applyFont="1" applyFill="1" applyBorder="1" applyAlignment="1">
      <alignment/>
    </xf>
    <xf numFmtId="0" fontId="9" fillId="0" borderId="0" xfId="0" applyFont="1" applyFill="1" applyBorder="1" applyAlignment="1">
      <alignment horizontal="left"/>
    </xf>
    <xf numFmtId="1" fontId="9" fillId="0" borderId="0" xfId="0" applyNumberFormat="1" applyFont="1" applyFill="1" applyBorder="1" applyAlignment="1" quotePrefix="1">
      <alignment/>
    </xf>
    <xf numFmtId="2" fontId="9" fillId="0" borderId="0" xfId="0" applyNumberFormat="1" applyFont="1" applyFill="1" applyBorder="1" applyAlignment="1">
      <alignment/>
    </xf>
    <xf numFmtId="2" fontId="9" fillId="0" borderId="0" xfId="0" applyNumberFormat="1" applyFont="1" applyFill="1" applyBorder="1" applyAlignment="1">
      <alignment vertical="center"/>
    </xf>
    <xf numFmtId="4" fontId="9" fillId="0" borderId="0" xfId="0" applyNumberFormat="1" applyFont="1" applyFill="1" applyBorder="1" applyAlignment="1">
      <alignment/>
    </xf>
    <xf numFmtId="165" fontId="9" fillId="0" borderId="0" xfId="0" applyNumberFormat="1" applyFont="1" applyFill="1" applyBorder="1" applyAlignment="1">
      <alignment/>
    </xf>
    <xf numFmtId="0" fontId="9" fillId="0" borderId="0" xfId="0" applyFont="1" applyFill="1" applyBorder="1" applyAlignment="1" quotePrefix="1">
      <alignment/>
    </xf>
    <xf numFmtId="164" fontId="9" fillId="0" borderId="0" xfId="0" applyNumberFormat="1" applyFont="1" applyFill="1" applyBorder="1" applyAlignment="1">
      <alignment/>
    </xf>
    <xf numFmtId="165" fontId="9" fillId="0" borderId="0" xfId="0" applyNumberFormat="1" applyFont="1" applyFill="1" applyBorder="1" applyAlignment="1">
      <alignment horizontal="right" vertical="center"/>
    </xf>
    <xf numFmtId="1" fontId="9" fillId="0" borderId="0" xfId="0" applyNumberFormat="1" applyFont="1" applyFill="1" applyBorder="1" applyAlignment="1">
      <alignment/>
    </xf>
    <xf numFmtId="3" fontId="9" fillId="0" borderId="0" xfId="0" applyNumberFormat="1" applyFont="1" applyFill="1" applyBorder="1" applyAlignment="1">
      <alignment/>
    </xf>
    <xf numFmtId="1" fontId="9" fillId="0" borderId="0" xfId="0" applyNumberFormat="1" applyFont="1" applyFill="1" applyBorder="1" applyAlignment="1">
      <alignment horizontal="right"/>
    </xf>
    <xf numFmtId="176" fontId="9" fillId="0" borderId="0" xfId="0" applyNumberFormat="1" applyFont="1" applyFill="1" applyBorder="1" applyAlignment="1">
      <alignment/>
    </xf>
    <xf numFmtId="3" fontId="9" fillId="0" borderId="0" xfId="0" applyNumberFormat="1" applyFont="1" applyFill="1" applyAlignment="1">
      <alignment/>
    </xf>
    <xf numFmtId="3" fontId="10" fillId="0" borderId="0" xfId="0" applyNumberFormat="1" applyFont="1" applyFill="1" applyBorder="1" applyAlignment="1">
      <alignment/>
    </xf>
    <xf numFmtId="3" fontId="9" fillId="0" borderId="0" xfId="0" applyNumberFormat="1" applyFont="1" applyFill="1" applyAlignment="1" quotePrefix="1">
      <alignment horizontal="right"/>
    </xf>
    <xf numFmtId="0" fontId="9" fillId="0" borderId="0" xfId="0" applyFont="1" applyFill="1" applyBorder="1" applyAlignment="1">
      <alignment horizontal="right"/>
    </xf>
    <xf numFmtId="0" fontId="8" fillId="0" borderId="0" xfId="0" applyFont="1" applyFill="1" applyBorder="1" applyAlignment="1">
      <alignment horizontal="left"/>
    </xf>
    <xf numFmtId="0" fontId="8" fillId="0" borderId="10" xfId="0" applyFont="1" applyFill="1" applyBorder="1" applyAlignment="1">
      <alignment horizontal="center"/>
    </xf>
    <xf numFmtId="0" fontId="8" fillId="0" borderId="10" xfId="0" applyFont="1" applyFill="1" applyBorder="1" applyAlignment="1">
      <alignment horizontal="right"/>
    </xf>
    <xf numFmtId="0" fontId="0" fillId="0" borderId="0" xfId="0" applyFill="1" applyAlignment="1">
      <alignment/>
    </xf>
    <xf numFmtId="3" fontId="9" fillId="0" borderId="0" xfId="0" applyNumberFormat="1" applyFont="1" applyFill="1" applyBorder="1" applyAlignment="1">
      <alignment horizontal="right"/>
    </xf>
    <xf numFmtId="0" fontId="10" fillId="0" borderId="0" xfId="0" applyFont="1" applyFill="1" applyBorder="1" applyAlignment="1">
      <alignment horizontal="left"/>
    </xf>
    <xf numFmtId="0" fontId="10" fillId="0" borderId="0" xfId="0" applyFont="1" applyFill="1" applyBorder="1" applyAlignment="1">
      <alignment/>
    </xf>
    <xf numFmtId="0" fontId="9" fillId="35" borderId="0" xfId="0" applyFont="1" applyFill="1" applyAlignment="1">
      <alignment horizontal="left" textRotation="90" wrapText="1"/>
    </xf>
    <xf numFmtId="0" fontId="8" fillId="35" borderId="10" xfId="0" applyFont="1" applyFill="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xf>
    <xf numFmtId="0" fontId="9" fillId="35" borderId="0" xfId="0" applyFont="1" applyFill="1" applyBorder="1" applyAlignment="1" quotePrefix="1">
      <alignment/>
    </xf>
    <xf numFmtId="0" fontId="9" fillId="35" borderId="0" xfId="0" applyFont="1" applyFill="1" applyBorder="1" applyAlignment="1">
      <alignment horizontal="left"/>
    </xf>
    <xf numFmtId="0" fontId="8" fillId="35" borderId="0" xfId="0" applyFont="1" applyFill="1" applyAlignment="1">
      <alignment textRotation="90" wrapText="1"/>
    </xf>
    <xf numFmtId="0" fontId="8" fillId="35" borderId="10" xfId="0" applyFont="1" applyFill="1" applyBorder="1" applyAlignment="1">
      <alignment horizontal="right"/>
    </xf>
    <xf numFmtId="2" fontId="9" fillId="35" borderId="0" xfId="0" applyNumberFormat="1" applyFont="1" applyFill="1" applyBorder="1" applyAlignment="1">
      <alignment vertical="center"/>
    </xf>
    <xf numFmtId="165" fontId="9" fillId="35" borderId="0" xfId="0" applyNumberFormat="1" applyFont="1" applyFill="1" applyBorder="1" applyAlignment="1">
      <alignment horizontal="right" vertical="center"/>
    </xf>
    <xf numFmtId="1" fontId="9" fillId="35" borderId="0" xfId="0" applyNumberFormat="1" applyFont="1" applyFill="1" applyBorder="1" applyAlignment="1">
      <alignment/>
    </xf>
    <xf numFmtId="164" fontId="9" fillId="35" borderId="0" xfId="0" applyNumberFormat="1" applyFont="1" applyFill="1" applyBorder="1" applyAlignment="1">
      <alignment/>
    </xf>
    <xf numFmtId="3" fontId="9" fillId="35" borderId="0" xfId="0" applyNumberFormat="1" applyFont="1" applyFill="1" applyBorder="1" applyAlignment="1">
      <alignment/>
    </xf>
    <xf numFmtId="2" fontId="9" fillId="35" borderId="0" xfId="0" applyNumberFormat="1" applyFont="1" applyFill="1" applyBorder="1" applyAlignment="1">
      <alignment/>
    </xf>
    <xf numFmtId="176" fontId="9" fillId="35" borderId="0" xfId="0" applyNumberFormat="1" applyFont="1" applyFill="1" applyBorder="1" applyAlignment="1">
      <alignment/>
    </xf>
    <xf numFmtId="3" fontId="9" fillId="35" borderId="0" xfId="0" applyNumberFormat="1" applyFont="1" applyFill="1" applyAlignment="1">
      <alignment/>
    </xf>
    <xf numFmtId="3" fontId="9" fillId="35" borderId="0" xfId="0" applyNumberFormat="1" applyFont="1" applyFill="1" applyAlignment="1">
      <alignment horizontal="right"/>
    </xf>
    <xf numFmtId="3" fontId="9" fillId="35" borderId="0" xfId="0" applyNumberFormat="1" applyFont="1" applyFill="1" applyAlignment="1" quotePrefix="1">
      <alignment horizontal="right"/>
    </xf>
    <xf numFmtId="0" fontId="8" fillId="35" borderId="0" xfId="0" applyFont="1" applyFill="1" applyAlignment="1">
      <alignment horizontal="center" textRotation="90" wrapText="1"/>
    </xf>
    <xf numFmtId="4" fontId="9" fillId="35" borderId="0" xfId="0" applyNumberFormat="1" applyFont="1" applyFill="1" applyBorder="1" applyAlignment="1">
      <alignment/>
    </xf>
    <xf numFmtId="175" fontId="9" fillId="35" borderId="0" xfId="0" applyNumberFormat="1" applyFont="1" applyFill="1" applyBorder="1" applyAlignment="1">
      <alignment/>
    </xf>
    <xf numFmtId="3" fontId="9" fillId="35" borderId="0" xfId="0" applyNumberFormat="1" applyFont="1" applyFill="1" applyBorder="1" applyAlignment="1" quotePrefix="1">
      <alignment horizontal="right"/>
    </xf>
    <xf numFmtId="0" fontId="1" fillId="0" borderId="0" xfId="0" applyFont="1" applyFill="1" applyBorder="1" applyAlignment="1">
      <alignment horizontal="left" vertical="center"/>
    </xf>
    <xf numFmtId="0" fontId="6" fillId="0" borderId="0" xfId="0" applyFont="1" applyFill="1" applyBorder="1" applyAlignment="1">
      <alignment textRotation="90" wrapText="1"/>
    </xf>
    <xf numFmtId="0" fontId="0" fillId="0" borderId="0" xfId="0" applyFill="1" applyAlignment="1">
      <alignment wrapText="1"/>
    </xf>
    <xf numFmtId="0" fontId="0" fillId="0" borderId="0" xfId="0" applyFill="1" applyAlignment="1">
      <alignment vertical="top"/>
    </xf>
    <xf numFmtId="0" fontId="9" fillId="0" borderId="0" xfId="0" applyFont="1" applyFill="1" applyAlignment="1">
      <alignment/>
    </xf>
    <xf numFmtId="0" fontId="13" fillId="0" borderId="0" xfId="0" applyFont="1" applyFill="1" applyAlignment="1">
      <alignment/>
    </xf>
    <xf numFmtId="0" fontId="9" fillId="0" borderId="10" xfId="0" applyFont="1" applyFill="1" applyBorder="1" applyAlignment="1">
      <alignment horizontal="left"/>
    </xf>
    <xf numFmtId="0" fontId="9" fillId="35" borderId="10" xfId="0" applyFont="1" applyFill="1" applyBorder="1" applyAlignment="1">
      <alignment/>
    </xf>
    <xf numFmtId="164" fontId="9" fillId="0" borderId="10" xfId="0" applyNumberFormat="1" applyFont="1" applyFill="1" applyBorder="1" applyAlignment="1">
      <alignment/>
    </xf>
    <xf numFmtId="164" fontId="9" fillId="35" borderId="10" xfId="0" applyNumberFormat="1" applyFont="1" applyFill="1" applyBorder="1" applyAlignment="1">
      <alignment/>
    </xf>
    <xf numFmtId="171" fontId="9" fillId="35" borderId="0" xfId="42" applyNumberFormat="1" applyFont="1" applyFill="1" applyBorder="1" applyAlignment="1">
      <alignment/>
    </xf>
    <xf numFmtId="3" fontId="9" fillId="36" borderId="0" xfId="0" applyNumberFormat="1" applyFont="1" applyFill="1" applyBorder="1" applyAlignment="1">
      <alignment horizontal="right"/>
    </xf>
    <xf numFmtId="2" fontId="9" fillId="36" borderId="0" xfId="0" applyNumberFormat="1" applyFont="1" applyFill="1" applyBorder="1" applyAlignment="1">
      <alignment/>
    </xf>
    <xf numFmtId="1" fontId="9" fillId="36" borderId="0" xfId="0" applyNumberFormat="1" applyFont="1" applyFill="1" applyBorder="1" applyAlignment="1">
      <alignment/>
    </xf>
    <xf numFmtId="164" fontId="9" fillId="36" borderId="0" xfId="0" applyNumberFormat="1" applyFont="1" applyFill="1" applyBorder="1" applyAlignment="1">
      <alignment/>
    </xf>
    <xf numFmtId="0" fontId="9" fillId="36" borderId="0" xfId="0" applyFont="1" applyFill="1" applyBorder="1" applyAlignment="1">
      <alignment/>
    </xf>
    <xf numFmtId="3" fontId="9" fillId="35" borderId="0" xfId="42" applyNumberFormat="1" applyFont="1" applyFill="1" applyBorder="1" applyAlignment="1">
      <alignment/>
    </xf>
    <xf numFmtId="3" fontId="9" fillId="0" borderId="0" xfId="42" applyNumberFormat="1" applyFont="1" applyFill="1" applyBorder="1" applyAlignment="1">
      <alignment/>
    </xf>
    <xf numFmtId="164" fontId="9" fillId="0" borderId="0" xfId="76" applyNumberFormat="1" applyFont="1" applyFill="1" applyBorder="1" applyAlignment="1">
      <alignment horizontal="right"/>
    </xf>
    <xf numFmtId="164" fontId="9" fillId="35" borderId="0" xfId="76" applyNumberFormat="1" applyFont="1" applyFill="1" applyBorder="1" applyAlignment="1">
      <alignment horizontal="right"/>
    </xf>
    <xf numFmtId="3" fontId="9" fillId="35" borderId="0" xfId="0" applyNumberFormat="1" applyFont="1" applyFill="1" applyBorder="1" applyAlignment="1">
      <alignment horizontal="right"/>
    </xf>
    <xf numFmtId="2" fontId="9" fillId="36" borderId="0" xfId="0" applyNumberFormat="1" applyFont="1" applyFill="1" applyBorder="1" applyAlignment="1">
      <alignment vertical="center"/>
    </xf>
    <xf numFmtId="165" fontId="9" fillId="36" borderId="0" xfId="0" applyNumberFormat="1" applyFont="1" applyFill="1" applyBorder="1" applyAlignment="1">
      <alignment horizontal="right" vertical="center"/>
    </xf>
    <xf numFmtId="3" fontId="9" fillId="36" borderId="0" xfId="0" applyNumberFormat="1" applyFont="1" applyFill="1" applyBorder="1" applyAlignment="1">
      <alignment/>
    </xf>
    <xf numFmtId="176" fontId="9" fillId="36" borderId="0" xfId="0" applyNumberFormat="1" applyFont="1" applyFill="1" applyBorder="1" applyAlignment="1">
      <alignment/>
    </xf>
    <xf numFmtId="1" fontId="9" fillId="36" borderId="0" xfId="0" applyNumberFormat="1" applyFont="1" applyFill="1" applyBorder="1" applyAlignment="1">
      <alignment horizontal="right"/>
    </xf>
    <xf numFmtId="3" fontId="9" fillId="36" borderId="0" xfId="42" applyNumberFormat="1" applyFont="1" applyFill="1" applyBorder="1" applyAlignment="1">
      <alignment/>
    </xf>
    <xf numFmtId="3" fontId="9" fillId="36" borderId="0" xfId="0" applyNumberFormat="1" applyFont="1" applyFill="1" applyAlignment="1">
      <alignment/>
    </xf>
    <xf numFmtId="164" fontId="9" fillId="36" borderId="0" xfId="76" applyNumberFormat="1" applyFont="1" applyFill="1" applyBorder="1" applyAlignment="1">
      <alignment horizontal="right"/>
    </xf>
    <xf numFmtId="2" fontId="9" fillId="36" borderId="0" xfId="0" applyNumberFormat="1" applyFont="1" applyFill="1" applyBorder="1" applyAlignment="1">
      <alignment horizontal="right"/>
    </xf>
    <xf numFmtId="175" fontId="9" fillId="0" borderId="0" xfId="0" applyNumberFormat="1" applyFont="1" applyFill="1" applyBorder="1" applyAlignment="1">
      <alignment/>
    </xf>
    <xf numFmtId="3" fontId="9" fillId="0" borderId="0" xfId="0" applyNumberFormat="1" applyFont="1" applyFill="1" applyAlignment="1">
      <alignment horizontal="right"/>
    </xf>
    <xf numFmtId="164" fontId="0" fillId="0" borderId="0" xfId="0" applyNumberFormat="1" applyAlignment="1">
      <alignment/>
    </xf>
    <xf numFmtId="2" fontId="0" fillId="0" borderId="0" xfId="0" applyNumberFormat="1" applyAlignment="1">
      <alignment/>
    </xf>
    <xf numFmtId="0" fontId="9" fillId="0" borderId="0" xfId="0" applyFont="1" applyAlignment="1">
      <alignment/>
    </xf>
    <xf numFmtId="0" fontId="1" fillId="0" borderId="0" xfId="0" applyFont="1" applyAlignment="1">
      <alignment/>
    </xf>
    <xf numFmtId="0" fontId="8" fillId="0" borderId="0" xfId="0" applyFont="1" applyBorder="1" applyAlignment="1" quotePrefix="1">
      <alignment horizontal="right" vertical="top"/>
    </xf>
    <xf numFmtId="0" fontId="0" fillId="0" borderId="11" xfId="0" applyFill="1" applyBorder="1" applyAlignment="1">
      <alignment/>
    </xf>
    <xf numFmtId="1" fontId="15" fillId="35" borderId="12" xfId="0" applyNumberFormat="1" applyFont="1" applyFill="1" applyBorder="1" applyAlignment="1">
      <alignment horizontal="center"/>
    </xf>
    <xf numFmtId="1" fontId="15" fillId="35" borderId="13" xfId="0" applyNumberFormat="1" applyFont="1" applyFill="1" applyBorder="1" applyAlignment="1">
      <alignment horizontal="center"/>
    </xf>
    <xf numFmtId="1" fontId="15" fillId="35" borderId="14" xfId="0" applyNumberFormat="1" applyFont="1" applyFill="1" applyBorder="1" applyAlignment="1">
      <alignment horizont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4" fontId="9" fillId="0" borderId="0" xfId="0" applyNumberFormat="1" applyFont="1" applyFill="1" applyAlignment="1">
      <alignment/>
    </xf>
    <xf numFmtId="0" fontId="0" fillId="0" borderId="0" xfId="0" applyFont="1" applyAlignment="1">
      <alignment/>
    </xf>
    <xf numFmtId="0" fontId="14" fillId="0" borderId="13" xfId="0" applyFont="1" applyBorder="1" applyAlignment="1">
      <alignment vertical="center"/>
    </xf>
    <xf numFmtId="0" fontId="0" fillId="0" borderId="14" xfId="0" applyBorder="1" applyAlignment="1">
      <alignment/>
    </xf>
    <xf numFmtId="0" fontId="0" fillId="0" borderId="17" xfId="0" applyBorder="1" applyAlignment="1">
      <alignment/>
    </xf>
    <xf numFmtId="0" fontId="14" fillId="0" borderId="13" xfId="0" applyFont="1" applyBorder="1" applyAlignment="1">
      <alignment horizontal="left"/>
    </xf>
    <xf numFmtId="0" fontId="1" fillId="35" borderId="18" xfId="0" applyFont="1" applyFill="1" applyBorder="1" applyAlignment="1">
      <alignment horizontal="center" vertical="top" wrapText="1"/>
    </xf>
    <xf numFmtId="0" fontId="1" fillId="35" borderId="10" xfId="0" applyFont="1" applyFill="1" applyBorder="1" applyAlignment="1">
      <alignment horizontal="center" vertical="top" wrapText="1"/>
    </xf>
    <xf numFmtId="0" fontId="1" fillId="35" borderId="19" xfId="0" applyFont="1" applyFill="1" applyBorder="1" applyAlignment="1">
      <alignment horizontal="center" vertical="top" wrapText="1"/>
    </xf>
    <xf numFmtId="0" fontId="1" fillId="0" borderId="0" xfId="0" applyFont="1" applyAlignment="1">
      <alignment horizontal="center"/>
    </xf>
    <xf numFmtId="0" fontId="1" fillId="35" borderId="15" xfId="0" applyFont="1" applyFill="1" applyBorder="1" applyAlignment="1">
      <alignment vertical="center"/>
    </xf>
    <xf numFmtId="0" fontId="1" fillId="35" borderId="15" xfId="0" applyFont="1" applyFill="1" applyBorder="1" applyAlignment="1">
      <alignment horizontal="right" vertical="center"/>
    </xf>
    <xf numFmtId="0" fontId="1" fillId="35" borderId="16" xfId="0" applyFont="1" applyFill="1" applyBorder="1" applyAlignment="1">
      <alignment vertical="center"/>
    </xf>
    <xf numFmtId="0" fontId="15" fillId="0" borderId="0" xfId="0" applyFont="1" applyAlignment="1">
      <alignment/>
    </xf>
    <xf numFmtId="0" fontId="15" fillId="0" borderId="0" xfId="0" applyFont="1" applyAlignment="1">
      <alignment horizontal="left"/>
    </xf>
    <xf numFmtId="4" fontId="9" fillId="0" borderId="0" xfId="0" applyNumberFormat="1" applyFont="1" applyFill="1" applyBorder="1" applyAlignment="1">
      <alignment horizontal="right"/>
    </xf>
    <xf numFmtId="0" fontId="8" fillId="0" borderId="0" xfId="0" applyFont="1" applyAlignment="1">
      <alignment horizontal="left"/>
    </xf>
    <xf numFmtId="0" fontId="16" fillId="35" borderId="12" xfId="0" applyFont="1" applyFill="1" applyBorder="1" applyAlignment="1">
      <alignment horizontal="center" wrapText="1"/>
    </xf>
    <xf numFmtId="0" fontId="0" fillId="0" borderId="0" xfId="0" applyFill="1" applyBorder="1" applyAlignment="1">
      <alignment/>
    </xf>
    <xf numFmtId="0" fontId="0" fillId="0" borderId="19" xfId="0" applyFill="1" applyBorder="1" applyAlignment="1">
      <alignment/>
    </xf>
    <xf numFmtId="1" fontId="15" fillId="35" borderId="18" xfId="0" applyNumberFormat="1" applyFont="1" applyFill="1" applyBorder="1" applyAlignment="1">
      <alignment horizontal="center" vertical="center"/>
    </xf>
    <xf numFmtId="1" fontId="15" fillId="35" borderId="16" xfId="0" applyNumberFormat="1" applyFont="1" applyFill="1" applyBorder="1" applyAlignment="1">
      <alignment horizontal="center" vertical="center"/>
    </xf>
    <xf numFmtId="1" fontId="15" fillId="35" borderId="10" xfId="0" applyNumberFormat="1" applyFont="1" applyFill="1" applyBorder="1" applyAlignment="1">
      <alignment horizontal="center" vertical="center"/>
    </xf>
    <xf numFmtId="0" fontId="16" fillId="35" borderId="16" xfId="0" applyFont="1" applyFill="1" applyBorder="1" applyAlignment="1">
      <alignment horizontal="center" vertical="top" wrapText="1"/>
    </xf>
    <xf numFmtId="0" fontId="15" fillId="37" borderId="12" xfId="0" applyFont="1" applyFill="1" applyBorder="1" applyAlignment="1">
      <alignment horizontal="center" vertical="center"/>
    </xf>
    <xf numFmtId="3" fontId="15" fillId="37" borderId="13" xfId="0" applyNumberFormat="1" applyFont="1" applyFill="1" applyBorder="1" applyAlignment="1">
      <alignment horizontal="right"/>
    </xf>
    <xf numFmtId="3" fontId="15" fillId="37" borderId="12" xfId="0" applyNumberFormat="1" applyFont="1" applyFill="1" applyBorder="1" applyAlignment="1">
      <alignment horizontal="right"/>
    </xf>
    <xf numFmtId="196" fontId="15" fillId="37" borderId="15" xfId="0" applyNumberFormat="1" applyFont="1" applyFill="1" applyBorder="1" applyAlignment="1">
      <alignment vertical="center"/>
    </xf>
    <xf numFmtId="0" fontId="15" fillId="37" borderId="15" xfId="0" applyFont="1" applyFill="1" applyBorder="1" applyAlignment="1">
      <alignment horizontal="center" vertical="center"/>
    </xf>
    <xf numFmtId="0" fontId="15" fillId="37" borderId="16" xfId="0" applyFont="1" applyFill="1" applyBorder="1" applyAlignment="1">
      <alignment horizontal="center" vertical="center"/>
    </xf>
    <xf numFmtId="3" fontId="15" fillId="37" borderId="10" xfId="0" applyNumberFormat="1" applyFont="1" applyFill="1" applyBorder="1" applyAlignment="1">
      <alignment horizontal="right" vertical="center"/>
    </xf>
    <xf numFmtId="3" fontId="15" fillId="37" borderId="16" xfId="0" applyNumberFormat="1" applyFont="1" applyFill="1" applyBorder="1" applyAlignment="1">
      <alignment horizontal="right" vertical="center"/>
    </xf>
    <xf numFmtId="196" fontId="15" fillId="37" borderId="16" xfId="0" applyNumberFormat="1" applyFont="1" applyFill="1" applyBorder="1" applyAlignment="1">
      <alignment vertical="center"/>
    </xf>
    <xf numFmtId="3" fontId="1" fillId="0" borderId="13" xfId="0" applyNumberFormat="1" applyFont="1" applyFill="1" applyBorder="1" applyAlignment="1">
      <alignment horizontal="right" vertical="center"/>
    </xf>
    <xf numFmtId="196" fontId="1" fillId="0" borderId="15" xfId="0" applyNumberFormat="1" applyFont="1" applyFill="1" applyBorder="1" applyAlignment="1">
      <alignment vertical="center"/>
    </xf>
    <xf numFmtId="3" fontId="1" fillId="0" borderId="20" xfId="0" applyNumberFormat="1" applyFont="1" applyFill="1" applyBorder="1" applyAlignment="1">
      <alignment horizontal="right" vertical="center"/>
    </xf>
    <xf numFmtId="3" fontId="1" fillId="0" borderId="15" xfId="0" applyNumberFormat="1" applyFont="1" applyFill="1" applyBorder="1" applyAlignment="1">
      <alignment horizontal="right" vertical="center"/>
    </xf>
    <xf numFmtId="3" fontId="15" fillId="37" borderId="20" xfId="0" applyNumberFormat="1" applyFont="1" applyFill="1" applyBorder="1" applyAlignment="1">
      <alignment horizontal="right" vertical="center"/>
    </xf>
    <xf numFmtId="3" fontId="15" fillId="37" borderId="15" xfId="0" applyNumberFormat="1" applyFont="1" applyFill="1" applyBorder="1" applyAlignment="1">
      <alignment horizontal="right" vertical="center"/>
    </xf>
    <xf numFmtId="3" fontId="1" fillId="37" borderId="20" xfId="0" applyNumberFormat="1" applyFont="1" applyFill="1" applyBorder="1" applyAlignment="1">
      <alignment horizontal="right" vertical="center"/>
    </xf>
    <xf numFmtId="175" fontId="1" fillId="37" borderId="0" xfId="0" applyNumberFormat="1" applyFont="1" applyFill="1" applyBorder="1" applyAlignment="1">
      <alignment horizontal="right" vertical="center"/>
    </xf>
    <xf numFmtId="196" fontId="1" fillId="37" borderId="15" xfId="0" applyNumberFormat="1" applyFont="1" applyFill="1" applyBorder="1" applyAlignment="1">
      <alignment vertical="center"/>
    </xf>
    <xf numFmtId="3" fontId="1" fillId="37" borderId="15" xfId="0" applyNumberFormat="1" applyFont="1" applyFill="1" applyBorder="1" applyAlignment="1">
      <alignment horizontal="right" vertical="center"/>
    </xf>
    <xf numFmtId="3" fontId="1" fillId="0" borderId="20" xfId="0" applyNumberFormat="1" applyFont="1" applyFill="1" applyBorder="1" applyAlignment="1" quotePrefix="1">
      <alignment horizontal="right" vertical="center"/>
    </xf>
    <xf numFmtId="3" fontId="1" fillId="0" borderId="15" xfId="0" applyNumberFormat="1" applyFont="1" applyFill="1" applyBorder="1" applyAlignment="1" quotePrefix="1">
      <alignment horizontal="right" vertical="center"/>
    </xf>
    <xf numFmtId="196" fontId="1" fillId="0" borderId="16" xfId="0" applyNumberFormat="1" applyFont="1" applyFill="1" applyBorder="1" applyAlignment="1">
      <alignment vertical="center"/>
    </xf>
    <xf numFmtId="3" fontId="15" fillId="0" borderId="20" xfId="0" applyNumberFormat="1" applyFont="1" applyFill="1" applyBorder="1" applyAlignment="1">
      <alignment horizontal="right" vertical="center"/>
    </xf>
    <xf numFmtId="3" fontId="15" fillId="0" borderId="15" xfId="0" applyNumberFormat="1" applyFont="1" applyFill="1" applyBorder="1" applyAlignment="1">
      <alignment horizontal="right" vertical="center"/>
    </xf>
    <xf numFmtId="175" fontId="1" fillId="0" borderId="0" xfId="0" applyNumberFormat="1" applyFont="1" applyFill="1" applyBorder="1" applyAlignment="1">
      <alignment horizontal="right" vertical="center"/>
    </xf>
    <xf numFmtId="175" fontId="1" fillId="0" borderId="10" xfId="0" applyNumberFormat="1" applyFont="1" applyFill="1" applyBorder="1" applyAlignment="1">
      <alignment horizontal="right" vertical="center"/>
    </xf>
    <xf numFmtId="43" fontId="9" fillId="0" borderId="0" xfId="0" applyNumberFormat="1" applyFont="1" applyFill="1" applyBorder="1" applyAlignment="1">
      <alignment/>
    </xf>
    <xf numFmtId="0" fontId="15" fillId="0" borderId="0" xfId="0" applyFont="1" applyBorder="1" applyAlignment="1">
      <alignment horizontal="left" wrapText="1"/>
    </xf>
    <xf numFmtId="0" fontId="1" fillId="0" borderId="0" xfId="0" applyFont="1" applyFill="1" applyAlignment="1">
      <alignment/>
    </xf>
    <xf numFmtId="0" fontId="9" fillId="0" borderId="0" xfId="0" applyFont="1" applyAlignment="1">
      <alignment vertical="top"/>
    </xf>
    <xf numFmtId="0" fontId="8" fillId="0" borderId="0" xfId="0" applyFont="1" applyAlignment="1" quotePrefix="1">
      <alignment horizontal="right" vertical="top"/>
    </xf>
    <xf numFmtId="0" fontId="14" fillId="0" borderId="0" xfId="0" applyFont="1" applyAlignment="1">
      <alignment horizontal="center" vertical="center"/>
    </xf>
    <xf numFmtId="0" fontId="15" fillId="35" borderId="21" xfId="0" applyFont="1" applyFill="1" applyBorder="1" applyAlignment="1">
      <alignment horizontal="center" vertical="center" wrapText="1"/>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18" fillId="37" borderId="14" xfId="0" applyNumberFormat="1" applyFont="1" applyFill="1" applyBorder="1" applyAlignment="1">
      <alignment horizontal="right"/>
    </xf>
    <xf numFmtId="164" fontId="18" fillId="37" borderId="14" xfId="0" applyNumberFormat="1" applyFont="1" applyFill="1" applyBorder="1" applyAlignment="1">
      <alignment horizontal="right" vertical="center"/>
    </xf>
    <xf numFmtId="164" fontId="15" fillId="37" borderId="14" xfId="0" applyNumberFormat="1" applyFont="1" applyFill="1" applyBorder="1" applyAlignment="1">
      <alignment horizontal="right" vertical="center"/>
    </xf>
    <xf numFmtId="164" fontId="18" fillId="37" borderId="0" xfId="0" applyNumberFormat="1" applyFont="1" applyFill="1" applyBorder="1" applyAlignment="1">
      <alignment horizontal="right"/>
    </xf>
    <xf numFmtId="164" fontId="18" fillId="37" borderId="0"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18" fillId="37" borderId="10" xfId="0" applyNumberFormat="1" applyFont="1" applyFill="1" applyBorder="1" applyAlignment="1">
      <alignment horizontal="right"/>
    </xf>
    <xf numFmtId="164" fontId="18" fillId="37" borderId="10" xfId="0" applyNumberFormat="1" applyFont="1" applyFill="1" applyBorder="1" applyAlignment="1">
      <alignment horizontal="right" vertical="center"/>
    </xf>
    <xf numFmtId="164" fontId="15" fillId="37" borderId="10" xfId="0" applyNumberFormat="1" applyFont="1" applyFill="1" applyBorder="1" applyAlignment="1">
      <alignment horizontal="right" vertical="center"/>
    </xf>
    <xf numFmtId="164" fontId="17" fillId="0" borderId="0" xfId="0" applyNumberFormat="1" applyFont="1" applyBorder="1" applyAlignment="1">
      <alignment horizontal="right" vertical="center"/>
    </xf>
    <xf numFmtId="164" fontId="17" fillId="37" borderId="0" xfId="0" applyNumberFormat="1" applyFont="1" applyFill="1" applyBorder="1" applyAlignment="1">
      <alignment horizontal="right" vertical="center"/>
    </xf>
    <xf numFmtId="164" fontId="1" fillId="37"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164" fontId="17" fillId="0" borderId="0" xfId="0" applyNumberFormat="1" applyFont="1" applyFill="1" applyBorder="1" applyAlignment="1">
      <alignment horizontal="right" vertical="center"/>
    </xf>
    <xf numFmtId="164" fontId="1" fillId="0" borderId="0" xfId="0" applyNumberFormat="1" applyFont="1" applyBorder="1" applyAlignment="1">
      <alignment horizontal="right" vertical="center"/>
    </xf>
    <xf numFmtId="164" fontId="17" fillId="38" borderId="0" xfId="0" applyNumberFormat="1" applyFont="1" applyFill="1" applyBorder="1" applyAlignment="1">
      <alignment horizontal="right" vertical="center"/>
    </xf>
    <xf numFmtId="164" fontId="1" fillId="0" borderId="11" xfId="0" applyNumberFormat="1" applyFont="1" applyBorder="1" applyAlignment="1">
      <alignment horizontal="right" vertical="center"/>
    </xf>
    <xf numFmtId="164" fontId="1" fillId="0" borderId="10" xfId="0" applyNumberFormat="1" applyFont="1" applyBorder="1" applyAlignment="1">
      <alignment horizontal="right" vertical="center"/>
    </xf>
    <xf numFmtId="164" fontId="1" fillId="0" borderId="14" xfId="0" applyNumberFormat="1" applyFont="1" applyFill="1" applyBorder="1" applyAlignment="1">
      <alignment horizontal="right" vertical="center"/>
    </xf>
    <xf numFmtId="164" fontId="17" fillId="0" borderId="10" xfId="0" applyNumberFormat="1" applyFont="1" applyFill="1" applyBorder="1" applyAlignment="1">
      <alignment horizontal="right" vertical="center"/>
    </xf>
    <xf numFmtId="0" fontId="15" fillId="0" borderId="0" xfId="0" applyFont="1" applyAlignment="1">
      <alignment/>
    </xf>
    <xf numFmtId="0" fontId="15" fillId="0" borderId="0" xfId="0" applyFont="1" applyAlignment="1">
      <alignment horizontal="left" vertical="center"/>
    </xf>
    <xf numFmtId="2" fontId="1" fillId="0" borderId="0" xfId="0" applyNumberFormat="1" applyFont="1" applyBorder="1" applyAlignment="1">
      <alignment vertical="center"/>
    </xf>
    <xf numFmtId="0" fontId="15" fillId="37" borderId="24" xfId="0" applyFont="1" applyFill="1" applyBorder="1" applyAlignment="1">
      <alignment horizontal="center"/>
    </xf>
    <xf numFmtId="164" fontId="18" fillId="37" borderId="22" xfId="0" applyNumberFormat="1" applyFont="1" applyFill="1" applyBorder="1" applyAlignment="1">
      <alignment horizontal="center"/>
    </xf>
    <xf numFmtId="0" fontId="15" fillId="37" borderId="24" xfId="0" applyFont="1" applyFill="1" applyBorder="1" applyAlignment="1">
      <alignment horizontal="center" vertical="center"/>
    </xf>
    <xf numFmtId="164" fontId="18" fillId="37" borderId="2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9" fontId="1" fillId="0" borderId="0" xfId="0" applyNumberFormat="1" applyFont="1" applyAlignment="1">
      <alignment horizontal="center"/>
    </xf>
    <xf numFmtId="0" fontId="9" fillId="0" borderId="0" xfId="0" applyFont="1" applyBorder="1" applyAlignment="1">
      <alignment vertical="top"/>
    </xf>
    <xf numFmtId="9" fontId="1" fillId="0" borderId="0" xfId="0" applyNumberFormat="1" applyFont="1" applyAlignment="1">
      <alignment horizontal="center" vertical="top"/>
    </xf>
    <xf numFmtId="0" fontId="8" fillId="0" borderId="0" xfId="0" applyFont="1" applyBorder="1" applyAlignment="1">
      <alignment horizontal="center" vertical="top"/>
    </xf>
    <xf numFmtId="0" fontId="1" fillId="0" borderId="0" xfId="0" applyFont="1" applyAlignment="1">
      <alignment vertical="top"/>
    </xf>
    <xf numFmtId="0" fontId="1" fillId="0" borderId="0" xfId="0" applyFont="1" applyBorder="1" applyAlignment="1">
      <alignment horizontal="right" vertical="center"/>
    </xf>
    <xf numFmtId="0" fontId="14" fillId="0" borderId="0" xfId="0" applyFont="1" applyAlignment="1">
      <alignment/>
    </xf>
    <xf numFmtId="1" fontId="15" fillId="35" borderId="0" xfId="0" applyNumberFormat="1" applyFont="1" applyFill="1" applyBorder="1" applyAlignment="1">
      <alignment horizontal="center" vertical="center"/>
    </xf>
    <xf numFmtId="0" fontId="15" fillId="35" borderId="16" xfId="0" applyFont="1" applyFill="1" applyBorder="1" applyAlignment="1">
      <alignment horizontal="center" vertical="top"/>
    </xf>
    <xf numFmtId="2" fontId="1" fillId="0" borderId="15" xfId="0" applyNumberFormat="1" applyFont="1" applyBorder="1" applyAlignment="1">
      <alignment horizontal="right" vertical="center"/>
    </xf>
    <xf numFmtId="164" fontId="17" fillId="0" borderId="15" xfId="0" applyNumberFormat="1" applyFont="1" applyBorder="1" applyAlignment="1">
      <alignment horizontal="right" vertical="center"/>
    </xf>
    <xf numFmtId="2" fontId="1" fillId="37" borderId="15" xfId="0" applyNumberFormat="1" applyFont="1" applyFill="1" applyBorder="1" applyAlignment="1">
      <alignment horizontal="right" vertical="center"/>
    </xf>
    <xf numFmtId="164" fontId="17" fillId="37" borderId="15" xfId="0" applyNumberFormat="1" applyFont="1" applyFill="1" applyBorder="1" applyAlignment="1">
      <alignment horizontal="right" vertical="center"/>
    </xf>
    <xf numFmtId="0" fontId="1" fillId="0" borderId="0" xfId="0" applyFont="1" applyFill="1" applyAlignment="1">
      <alignment horizontal="center"/>
    </xf>
    <xf numFmtId="164" fontId="17" fillId="0" borderId="15" xfId="0" applyNumberFormat="1" applyFont="1" applyFill="1" applyBorder="1" applyAlignment="1">
      <alignment horizontal="right" vertical="center"/>
    </xf>
    <xf numFmtId="164" fontId="1" fillId="0" borderId="20" xfId="0" applyNumberFormat="1" applyFont="1" applyBorder="1" applyAlignment="1">
      <alignment horizontal="right" vertical="center"/>
    </xf>
    <xf numFmtId="164" fontId="1" fillId="0" borderId="15" xfId="0" applyNumberFormat="1" applyFont="1" applyBorder="1" applyAlignment="1">
      <alignment horizontal="right" vertical="center"/>
    </xf>
    <xf numFmtId="164" fontId="1" fillId="37" borderId="15" xfId="0" applyNumberFormat="1" applyFont="1" applyFill="1" applyBorder="1" applyAlignment="1">
      <alignment horizontal="right" vertical="center"/>
    </xf>
    <xf numFmtId="2" fontId="1" fillId="0" borderId="15" xfId="0" applyNumberFormat="1" applyFont="1" applyFill="1" applyBorder="1" applyAlignment="1">
      <alignment horizontal="right" vertical="center"/>
    </xf>
    <xf numFmtId="164" fontId="1" fillId="0" borderId="20" xfId="0" applyNumberFormat="1" applyFont="1" applyFill="1" applyBorder="1" applyAlignment="1">
      <alignment horizontal="right" vertical="center"/>
    </xf>
    <xf numFmtId="164" fontId="1" fillId="0" borderId="25" xfId="0" applyNumberFormat="1" applyFont="1" applyFill="1" applyBorder="1" applyAlignment="1">
      <alignment horizontal="right" vertical="center"/>
    </xf>
    <xf numFmtId="164" fontId="1" fillId="0" borderId="26" xfId="0" applyNumberFormat="1" applyFont="1" applyFill="1" applyBorder="1" applyAlignment="1">
      <alignment horizontal="right" vertical="center"/>
    </xf>
    <xf numFmtId="164" fontId="1" fillId="37" borderId="25" xfId="0" applyNumberFormat="1" applyFont="1" applyFill="1" applyBorder="1" applyAlignment="1">
      <alignment horizontal="right" vertical="center"/>
    </xf>
    <xf numFmtId="164" fontId="1" fillId="0" borderId="15" xfId="0" applyNumberFormat="1" applyFont="1" applyFill="1" applyBorder="1" applyAlignment="1">
      <alignment horizontal="right" vertical="center"/>
    </xf>
    <xf numFmtId="164" fontId="15" fillId="0" borderId="0" xfId="0" applyNumberFormat="1" applyFont="1" applyAlignment="1">
      <alignment/>
    </xf>
    <xf numFmtId="164" fontId="1" fillId="37" borderId="26" xfId="0" applyNumberFormat="1" applyFont="1" applyFill="1" applyBorder="1" applyAlignment="1">
      <alignment horizontal="right" vertical="center"/>
    </xf>
    <xf numFmtId="2" fontId="1" fillId="37" borderId="16" xfId="0" applyNumberFormat="1" applyFont="1" applyFill="1" applyBorder="1" applyAlignment="1">
      <alignment horizontal="right" vertical="center"/>
    </xf>
    <xf numFmtId="164" fontId="1" fillId="37" borderId="10" xfId="0" applyNumberFormat="1" applyFont="1" applyFill="1" applyBorder="1" applyAlignment="1">
      <alignment horizontal="right" vertical="center"/>
    </xf>
    <xf numFmtId="0" fontId="15" fillId="0" borderId="0" xfId="0" applyFont="1" applyBorder="1" applyAlignment="1">
      <alignment/>
    </xf>
    <xf numFmtId="0" fontId="15" fillId="0" borderId="0" xfId="0" applyFont="1" applyAlignment="1">
      <alignment vertical="top"/>
    </xf>
    <xf numFmtId="165" fontId="1" fillId="0" borderId="0" xfId="0" applyNumberFormat="1" applyFont="1" applyAlignment="1">
      <alignment/>
    </xf>
    <xf numFmtId="1" fontId="15" fillId="0" borderId="0" xfId="0" applyNumberFormat="1" applyFont="1" applyFill="1" applyBorder="1" applyAlignment="1">
      <alignment horizontal="center" vertical="center"/>
    </xf>
    <xf numFmtId="1" fontId="15" fillId="35" borderId="15" xfId="0" applyNumberFormat="1" applyFont="1" applyFill="1" applyBorder="1" applyAlignment="1">
      <alignment horizontal="center" vertical="center"/>
    </xf>
    <xf numFmtId="0" fontId="15" fillId="35" borderId="15" xfId="0" applyFont="1" applyFill="1" applyBorder="1" applyAlignment="1">
      <alignment horizontal="center" vertical="top"/>
    </xf>
    <xf numFmtId="0" fontId="1" fillId="0" borderId="0" xfId="0" applyFont="1" applyAlignment="1">
      <alignment/>
    </xf>
    <xf numFmtId="0" fontId="1" fillId="0" borderId="0" xfId="0" applyFont="1" applyAlignment="1" quotePrefix="1">
      <alignment vertical="top"/>
    </xf>
    <xf numFmtId="0" fontId="0" fillId="0" borderId="0" xfId="0" applyAlignment="1">
      <alignment vertical="top"/>
    </xf>
    <xf numFmtId="0" fontId="1" fillId="0" borderId="0" xfId="0" applyFont="1" applyAlignment="1">
      <alignment horizontal="center" vertical="top"/>
    </xf>
    <xf numFmtId="164" fontId="18" fillId="37" borderId="12" xfId="0" applyNumberFormat="1" applyFont="1" applyFill="1" applyBorder="1" applyAlignment="1">
      <alignment horizontal="right" vertical="center"/>
    </xf>
    <xf numFmtId="164" fontId="18" fillId="37" borderId="15" xfId="0" applyNumberFormat="1" applyFont="1" applyFill="1" applyBorder="1" applyAlignment="1">
      <alignment horizontal="right" vertical="center"/>
    </xf>
    <xf numFmtId="0" fontId="15" fillId="37" borderId="11" xfId="0" applyFont="1" applyFill="1" applyBorder="1" applyAlignment="1">
      <alignment horizontal="center" vertical="center"/>
    </xf>
    <xf numFmtId="164" fontId="1" fillId="37" borderId="15" xfId="0" applyNumberFormat="1" applyFont="1" applyFill="1" applyBorder="1" applyAlignment="1">
      <alignment horizontal="center" vertical="center"/>
    </xf>
    <xf numFmtId="164" fontId="1" fillId="0" borderId="15" xfId="0" applyNumberFormat="1" applyFont="1" applyFill="1" applyBorder="1" applyAlignment="1">
      <alignment horizontal="center" vertical="center"/>
    </xf>
    <xf numFmtId="164" fontId="1" fillId="0" borderId="15" xfId="0" applyNumberFormat="1" applyFont="1" applyBorder="1" applyAlignment="1">
      <alignment horizontal="center" vertical="center"/>
    </xf>
    <xf numFmtId="164" fontId="1" fillId="37" borderId="16" xfId="0" applyNumberFormat="1" applyFont="1" applyFill="1" applyBorder="1" applyAlignment="1">
      <alignment horizontal="right" vertical="center"/>
    </xf>
    <xf numFmtId="164" fontId="1" fillId="0" borderId="16" xfId="0" applyNumberFormat="1" applyFont="1" applyFill="1" applyBorder="1" applyAlignment="1">
      <alignment horizontal="right" vertical="center"/>
    </xf>
    <xf numFmtId="164" fontId="15" fillId="37" borderId="13" xfId="0" applyNumberFormat="1" applyFont="1" applyFill="1" applyBorder="1" applyAlignment="1">
      <alignment horizontal="right" vertical="center"/>
    </xf>
    <xf numFmtId="164" fontId="15" fillId="37" borderId="20" xfId="0" applyNumberFormat="1" applyFont="1" applyFill="1" applyBorder="1" applyAlignment="1">
      <alignment horizontal="right" vertical="center"/>
    </xf>
    <xf numFmtId="164" fontId="1" fillId="0" borderId="11" xfId="0" applyNumberFormat="1" applyFont="1" applyFill="1" applyBorder="1" applyAlignment="1">
      <alignment horizontal="right" vertical="center"/>
    </xf>
    <xf numFmtId="164" fontId="1" fillId="37" borderId="11" xfId="0" applyNumberFormat="1" applyFont="1" applyFill="1" applyBorder="1" applyAlignment="1">
      <alignment horizontal="right" vertical="center"/>
    </xf>
    <xf numFmtId="165" fontId="9" fillId="0" borderId="0" xfId="0" applyNumberFormat="1" applyFont="1" applyFill="1" applyAlignment="1" quotePrefix="1">
      <alignment horizontal="right"/>
    </xf>
    <xf numFmtId="0" fontId="8" fillId="0" borderId="0" xfId="0" applyFont="1" applyFill="1" applyBorder="1" applyAlignment="1">
      <alignment horizontal="right"/>
    </xf>
    <xf numFmtId="0" fontId="6" fillId="0" borderId="0" xfId="0" applyFont="1" applyFill="1" applyBorder="1" applyAlignment="1">
      <alignment horizontal="right" textRotation="90" wrapText="1"/>
    </xf>
    <xf numFmtId="0" fontId="71" fillId="0" borderId="0" xfId="0" applyFont="1" applyFill="1" applyBorder="1" applyAlignment="1">
      <alignment/>
    </xf>
    <xf numFmtId="0" fontId="71" fillId="35" borderId="0" xfId="0" applyFont="1" applyFill="1" applyBorder="1" applyAlignment="1">
      <alignment/>
    </xf>
    <xf numFmtId="164" fontId="71" fillId="0" borderId="0" xfId="0" applyNumberFormat="1" applyFont="1" applyFill="1" applyBorder="1" applyAlignment="1">
      <alignment/>
    </xf>
    <xf numFmtId="0" fontId="71" fillId="0" borderId="10" xfId="0" applyFont="1" applyFill="1" applyBorder="1" applyAlignment="1">
      <alignment/>
    </xf>
    <xf numFmtId="3" fontId="71" fillId="0" borderId="0" xfId="0" applyNumberFormat="1" applyFont="1" applyFill="1" applyBorder="1" applyAlignment="1">
      <alignment/>
    </xf>
    <xf numFmtId="0" fontId="71" fillId="0" borderId="0" xfId="0" applyFont="1" applyFill="1" applyBorder="1" applyAlignment="1">
      <alignment horizontal="left"/>
    </xf>
    <xf numFmtId="0" fontId="71" fillId="36" borderId="0" xfId="0" applyFont="1" applyFill="1" applyBorder="1" applyAlignment="1">
      <alignment/>
    </xf>
    <xf numFmtId="0" fontId="9" fillId="0" borderId="0" xfId="0" applyFont="1" applyAlignment="1">
      <alignment vertical="top" wrapText="1"/>
    </xf>
    <xf numFmtId="0" fontId="0" fillId="0" borderId="0" xfId="0" applyFont="1" applyBorder="1" applyAlignment="1">
      <alignment horizontal="center" vertical="center"/>
    </xf>
    <xf numFmtId="0" fontId="1" fillId="0" borderId="0" xfId="0" applyFont="1" applyFill="1" applyBorder="1" applyAlignment="1">
      <alignment/>
    </xf>
    <xf numFmtId="0" fontId="0" fillId="0" borderId="10" xfId="0" applyFont="1" applyBorder="1" applyAlignment="1">
      <alignment horizontal="right" vertical="top"/>
    </xf>
    <xf numFmtId="0" fontId="0" fillId="0" borderId="0" xfId="0" applyFont="1" applyBorder="1" applyAlignment="1">
      <alignment horizontal="right" vertical="top"/>
    </xf>
    <xf numFmtId="1" fontId="15" fillId="35" borderId="21" xfId="0" applyNumberFormat="1" applyFont="1" applyFill="1" applyBorder="1" applyAlignment="1">
      <alignment horizontal="center" vertical="center"/>
    </xf>
    <xf numFmtId="1" fontId="15" fillId="35" borderId="22" xfId="0" applyNumberFormat="1" applyFont="1" applyFill="1" applyBorder="1" applyAlignment="1">
      <alignment horizontal="center" vertical="center"/>
    </xf>
    <xf numFmtId="1" fontId="15" fillId="35" borderId="23" xfId="0" applyNumberFormat="1" applyFont="1" applyFill="1" applyBorder="1" applyAlignment="1">
      <alignment horizontal="center" vertical="center"/>
    </xf>
    <xf numFmtId="195" fontId="15" fillId="37" borderId="13" xfId="0" applyNumberFormat="1" applyFont="1" applyFill="1" applyBorder="1" applyAlignment="1">
      <alignment horizontal="right" vertical="center"/>
    </xf>
    <xf numFmtId="195" fontId="15" fillId="37" borderId="14" xfId="0" applyNumberFormat="1" applyFont="1" applyFill="1" applyBorder="1" applyAlignment="1">
      <alignment horizontal="right" vertical="center"/>
    </xf>
    <xf numFmtId="195" fontId="15" fillId="37" borderId="20" xfId="0" applyNumberFormat="1" applyFont="1" applyFill="1" applyBorder="1" applyAlignment="1">
      <alignment horizontal="right" vertical="center"/>
    </xf>
    <xf numFmtId="195" fontId="15" fillId="37" borderId="0" xfId="0" applyNumberFormat="1" applyFont="1" applyFill="1" applyBorder="1" applyAlignment="1">
      <alignment horizontal="right" vertical="center"/>
    </xf>
    <xf numFmtId="195" fontId="15" fillId="37" borderId="18" xfId="0" applyNumberFormat="1" applyFont="1" applyFill="1" applyBorder="1" applyAlignment="1">
      <alignment horizontal="right" vertical="center"/>
    </xf>
    <xf numFmtId="195" fontId="15" fillId="37" borderId="10" xfId="0" applyNumberFormat="1" applyFont="1" applyFill="1" applyBorder="1" applyAlignment="1">
      <alignment horizontal="right" vertical="center"/>
    </xf>
    <xf numFmtId="195" fontId="1" fillId="0" borderId="20"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0" fontId="15" fillId="0" borderId="11" xfId="0" applyFont="1" applyFill="1" applyBorder="1" applyAlignment="1">
      <alignment horizontal="center" vertical="center"/>
    </xf>
    <xf numFmtId="195" fontId="1" fillId="37" borderId="20" xfId="0" applyNumberFormat="1" applyFont="1" applyFill="1" applyBorder="1" applyAlignment="1">
      <alignment horizontal="right" vertical="center"/>
    </xf>
    <xf numFmtId="195" fontId="1" fillId="37" borderId="0" xfId="0" applyNumberFormat="1" applyFont="1" applyFill="1" applyBorder="1" applyAlignment="1">
      <alignment horizontal="right" vertical="center"/>
    </xf>
    <xf numFmtId="195" fontId="1" fillId="0" borderId="20" xfId="0" applyNumberFormat="1" applyFont="1" applyFill="1" applyBorder="1" applyAlignment="1" quotePrefix="1">
      <alignment horizontal="right" vertical="center"/>
    </xf>
    <xf numFmtId="195" fontId="1" fillId="0" borderId="0" xfId="0" applyNumberFormat="1" applyFont="1" applyFill="1" applyBorder="1" applyAlignment="1" quotePrefix="1">
      <alignment horizontal="right" vertical="center"/>
    </xf>
    <xf numFmtId="195" fontId="1" fillId="0" borderId="18" xfId="0" applyNumberFormat="1" applyFont="1" applyFill="1" applyBorder="1" applyAlignment="1">
      <alignment horizontal="right" vertical="center"/>
    </xf>
    <xf numFmtId="195" fontId="1" fillId="0" borderId="10" xfId="0" applyNumberFormat="1" applyFont="1" applyFill="1" applyBorder="1" applyAlignment="1">
      <alignment horizontal="right" vertical="center"/>
    </xf>
    <xf numFmtId="0" fontId="15" fillId="0" borderId="19" xfId="0" applyFont="1" applyFill="1" applyBorder="1" applyAlignment="1">
      <alignment horizontal="center" vertical="center"/>
    </xf>
    <xf numFmtId="0" fontId="15" fillId="0" borderId="17" xfId="0" applyFont="1" applyFill="1" applyBorder="1" applyAlignment="1">
      <alignment horizontal="center" vertical="center"/>
    </xf>
    <xf numFmtId="1" fontId="15" fillId="0" borderId="0" xfId="0" applyNumberFormat="1" applyFont="1" applyAlignment="1">
      <alignment vertical="top"/>
    </xf>
    <xf numFmtId="195" fontId="1" fillId="0" borderId="0" xfId="0" applyNumberFormat="1" applyFont="1" applyAlignment="1">
      <alignment/>
    </xf>
    <xf numFmtId="3" fontId="72" fillId="36" borderId="0" xfId="0" applyNumberFormat="1" applyFont="1" applyFill="1" applyBorder="1" applyAlignment="1">
      <alignment horizontal="right" vertical="center"/>
    </xf>
    <xf numFmtId="3" fontId="72" fillId="0" borderId="0" xfId="0" applyNumberFormat="1" applyFont="1" applyFill="1" applyBorder="1" applyAlignment="1">
      <alignment horizontal="right" vertical="center"/>
    </xf>
    <xf numFmtId="3" fontId="72" fillId="35" borderId="0" xfId="0" applyNumberFormat="1" applyFont="1" applyFill="1" applyBorder="1" applyAlignment="1">
      <alignment horizontal="right" vertical="center"/>
    </xf>
    <xf numFmtId="3" fontId="72" fillId="0" borderId="0" xfId="0" applyNumberFormat="1" applyFont="1" applyFill="1" applyBorder="1" applyAlignment="1">
      <alignment/>
    </xf>
    <xf numFmtId="164" fontId="72" fillId="36" borderId="0" xfId="0" applyNumberFormat="1" applyFont="1" applyFill="1" applyBorder="1" applyAlignment="1">
      <alignment/>
    </xf>
    <xf numFmtId="164" fontId="72" fillId="0" borderId="0" xfId="0" applyNumberFormat="1" applyFont="1" applyFill="1" applyBorder="1" applyAlignment="1">
      <alignment/>
    </xf>
    <xf numFmtId="164" fontId="72" fillId="35" borderId="0" xfId="0" applyNumberFormat="1" applyFont="1" applyFill="1" applyBorder="1" applyAlignment="1">
      <alignment/>
    </xf>
    <xf numFmtId="0" fontId="72" fillId="0" borderId="0" xfId="0" applyFont="1" applyFill="1" applyBorder="1" applyAlignment="1">
      <alignment/>
    </xf>
    <xf numFmtId="0" fontId="73" fillId="0" borderId="0" xfId="0" applyFont="1" applyFill="1" applyBorder="1" applyAlignment="1" quotePrefix="1">
      <alignment/>
    </xf>
    <xf numFmtId="0" fontId="72" fillId="35" borderId="0" xfId="0" applyFont="1" applyFill="1" applyBorder="1" applyAlignment="1">
      <alignment/>
    </xf>
    <xf numFmtId="0" fontId="72" fillId="35" borderId="0" xfId="0" applyFont="1" applyFill="1" applyBorder="1" applyAlignment="1">
      <alignment horizontal="left"/>
    </xf>
    <xf numFmtId="3" fontId="72" fillId="0" borderId="0" xfId="0" applyNumberFormat="1" applyFont="1" applyFill="1" applyBorder="1" applyAlignment="1">
      <alignment horizontal="right"/>
    </xf>
    <xf numFmtId="0" fontId="2" fillId="0" borderId="0" xfId="0" applyFont="1" applyAlignment="1">
      <alignment/>
    </xf>
    <xf numFmtId="0" fontId="0" fillId="0" borderId="10" xfId="0" applyFont="1" applyBorder="1" applyAlignment="1">
      <alignment horizontal="center" vertical="center"/>
    </xf>
    <xf numFmtId="0" fontId="15" fillId="39" borderId="15" xfId="0" applyFont="1" applyFill="1" applyBorder="1" applyAlignment="1">
      <alignment horizontal="center" vertical="center"/>
    </xf>
    <xf numFmtId="175" fontId="1" fillId="39" borderId="0" xfId="0" applyNumberFormat="1" applyFont="1" applyFill="1" applyBorder="1" applyAlignment="1">
      <alignment horizontal="right" vertical="center"/>
    </xf>
    <xf numFmtId="175" fontId="0" fillId="0" borderId="0" xfId="0" applyNumberFormat="1" applyAlignment="1">
      <alignment/>
    </xf>
    <xf numFmtId="0" fontId="0" fillId="0" borderId="0" xfId="0" applyFont="1" applyFill="1" applyAlignment="1">
      <alignment/>
    </xf>
    <xf numFmtId="0" fontId="72" fillId="0" borderId="0" xfId="0" applyFont="1" applyFill="1" applyBorder="1" applyAlignment="1" quotePrefix="1">
      <alignment/>
    </xf>
    <xf numFmtId="164" fontId="72" fillId="0" borderId="0" xfId="0" applyNumberFormat="1" applyFont="1" applyFill="1" applyBorder="1" applyAlignment="1">
      <alignment horizontal="right"/>
    </xf>
    <xf numFmtId="165" fontId="72" fillId="0" borderId="0" xfId="0" applyNumberFormat="1" applyFont="1" applyFill="1" applyBorder="1" applyAlignment="1">
      <alignment/>
    </xf>
    <xf numFmtId="3" fontId="72" fillId="35" borderId="0" xfId="0" applyNumberFormat="1" applyFont="1" applyFill="1" applyBorder="1" applyAlignment="1">
      <alignment horizontal="right"/>
    </xf>
    <xf numFmtId="0" fontId="72" fillId="40" borderId="0" xfId="0" applyFont="1" applyFill="1" applyBorder="1" applyAlignment="1">
      <alignment/>
    </xf>
    <xf numFmtId="3" fontId="72" fillId="36" borderId="0" xfId="0" applyNumberFormat="1" applyFont="1" applyFill="1" applyBorder="1" applyAlignment="1">
      <alignment/>
    </xf>
    <xf numFmtId="3" fontId="72" fillId="35" borderId="0" xfId="0" applyNumberFormat="1" applyFont="1" applyFill="1" applyBorder="1" applyAlignment="1">
      <alignment/>
    </xf>
    <xf numFmtId="3" fontId="0" fillId="0" borderId="0" xfId="0" applyNumberFormat="1" applyAlignment="1">
      <alignment wrapText="1"/>
    </xf>
    <xf numFmtId="0" fontId="1" fillId="41" borderId="13" xfId="0" applyFont="1" applyFill="1" applyBorder="1" applyAlignment="1">
      <alignment/>
    </xf>
    <xf numFmtId="0" fontId="15" fillId="41" borderId="14" xfId="0" applyFont="1" applyFill="1" applyBorder="1" applyAlignment="1">
      <alignment horizontal="center" wrapText="1"/>
    </xf>
    <xf numFmtId="0" fontId="15" fillId="41" borderId="17" xfId="0" applyFont="1" applyFill="1" applyBorder="1" applyAlignment="1">
      <alignment horizontal="center" wrapText="1"/>
    </xf>
    <xf numFmtId="1" fontId="15" fillId="35" borderId="19" xfId="0" applyNumberFormat="1" applyFont="1" applyFill="1" applyBorder="1" applyAlignment="1">
      <alignment horizontal="center" vertical="center"/>
    </xf>
    <xf numFmtId="0" fontId="15" fillId="41" borderId="18" xfId="0" applyFont="1" applyFill="1" applyBorder="1" applyAlignment="1">
      <alignment horizontal="center" vertical="top" wrapText="1"/>
    </xf>
    <xf numFmtId="0" fontId="15" fillId="41" borderId="10" xfId="0" applyFont="1" applyFill="1" applyBorder="1" applyAlignment="1">
      <alignment horizontal="center" vertical="top" wrapText="1"/>
    </xf>
    <xf numFmtId="0" fontId="15" fillId="41" borderId="19" xfId="0" applyFont="1" applyFill="1" applyBorder="1" applyAlignment="1">
      <alignment horizontal="center" vertical="top" wrapText="1"/>
    </xf>
    <xf numFmtId="164" fontId="17" fillId="0" borderId="0" xfId="0" applyNumberFormat="1" applyFont="1" applyFill="1" applyBorder="1" applyAlignment="1">
      <alignment vertical="center"/>
    </xf>
    <xf numFmtId="164" fontId="1" fillId="0" borderId="0" xfId="0" applyNumberFormat="1" applyFont="1" applyFill="1" applyBorder="1" applyAlignment="1">
      <alignment vertical="center"/>
    </xf>
    <xf numFmtId="164" fontId="1" fillId="37" borderId="0" xfId="0" applyNumberFormat="1" applyFont="1" applyFill="1" applyBorder="1" applyAlignment="1">
      <alignment vertical="center"/>
    </xf>
    <xf numFmtId="3" fontId="1" fillId="37" borderId="0" xfId="0" applyNumberFormat="1" applyFont="1" applyFill="1" applyBorder="1" applyAlignment="1" quotePrefix="1">
      <alignment horizontal="right" vertical="center"/>
    </xf>
    <xf numFmtId="3" fontId="1" fillId="0" borderId="0" xfId="0" applyNumberFormat="1" applyFont="1" applyBorder="1" applyAlignment="1" quotePrefix="1">
      <alignment horizontal="right" vertical="center"/>
    </xf>
    <xf numFmtId="0" fontId="0" fillId="0" borderId="0" xfId="0" applyBorder="1" applyAlignment="1">
      <alignment/>
    </xf>
    <xf numFmtId="164" fontId="9" fillId="0" borderId="0" xfId="0" applyNumberFormat="1" applyFont="1" applyAlignment="1">
      <alignment/>
    </xf>
    <xf numFmtId="164" fontId="8" fillId="0" borderId="0" xfId="0" applyNumberFormat="1" applyFont="1" applyAlignment="1" quotePrefix="1">
      <alignment horizontal="right" vertical="top"/>
    </xf>
    <xf numFmtId="0" fontId="8" fillId="0" borderId="0" xfId="0" applyFont="1" applyAlignment="1">
      <alignment horizontal="center" vertical="top"/>
    </xf>
    <xf numFmtId="164" fontId="1" fillId="0" borderId="0" xfId="0" applyNumberFormat="1" applyFont="1" applyFill="1" applyBorder="1" applyAlignment="1">
      <alignment/>
    </xf>
    <xf numFmtId="164" fontId="1" fillId="0" borderId="0" xfId="0" applyNumberFormat="1" applyFont="1" applyBorder="1" applyAlignment="1">
      <alignment horizontal="right" vertical="top"/>
    </xf>
    <xf numFmtId="0" fontId="1" fillId="0" borderId="0" xfId="0" applyFont="1" applyBorder="1" applyAlignment="1">
      <alignment horizontal="right" vertical="top"/>
    </xf>
    <xf numFmtId="0" fontId="15" fillId="0" borderId="24" xfId="0" applyFont="1" applyBorder="1" applyAlignment="1">
      <alignment horizontal="center" vertical="center" wrapText="1"/>
    </xf>
    <xf numFmtId="164" fontId="1" fillId="0" borderId="12" xfId="0" applyNumberFormat="1" applyFont="1" applyBorder="1" applyAlignment="1">
      <alignment/>
    </xf>
    <xf numFmtId="164" fontId="15" fillId="39" borderId="0" xfId="0" applyNumberFormat="1" applyFont="1" applyFill="1" applyBorder="1" applyAlignment="1">
      <alignment horizontal="right" vertical="center"/>
    </xf>
    <xf numFmtId="164" fontId="1" fillId="0" borderId="15" xfId="0" applyNumberFormat="1" applyFont="1" applyBorder="1" applyAlignment="1">
      <alignment/>
    </xf>
    <xf numFmtId="164" fontId="15" fillId="37" borderId="18" xfId="0" applyNumberFormat="1" applyFont="1" applyFill="1" applyBorder="1" applyAlignment="1">
      <alignment horizontal="right" vertical="center"/>
    </xf>
    <xf numFmtId="164" fontId="1" fillId="0" borderId="16" xfId="0" applyNumberFormat="1" applyFont="1" applyBorder="1" applyAlignment="1">
      <alignment/>
    </xf>
    <xf numFmtId="164" fontId="1" fillId="37" borderId="20" xfId="0" applyNumberFormat="1" applyFont="1" applyFill="1" applyBorder="1" applyAlignment="1">
      <alignment horizontal="right" vertical="center"/>
    </xf>
    <xf numFmtId="164" fontId="1" fillId="39" borderId="0" xfId="0" applyNumberFormat="1" applyFont="1" applyFill="1" applyBorder="1" applyAlignment="1">
      <alignment horizontal="right" vertical="center"/>
    </xf>
    <xf numFmtId="164" fontId="1" fillId="39" borderId="11" xfId="0" applyNumberFormat="1" applyFont="1" applyFill="1" applyBorder="1" applyAlignment="1">
      <alignment horizontal="right" vertical="center"/>
    </xf>
    <xf numFmtId="164" fontId="1" fillId="0" borderId="18" xfId="0" applyNumberFormat="1" applyFont="1" applyFill="1" applyBorder="1" applyAlignment="1">
      <alignment horizontal="right" vertical="center"/>
    </xf>
    <xf numFmtId="164" fontId="1" fillId="0" borderId="10" xfId="0" applyNumberFormat="1" applyFont="1" applyFill="1" applyBorder="1" applyAlignment="1">
      <alignment horizontal="right" vertical="center"/>
    </xf>
    <xf numFmtId="164" fontId="1" fillId="0" borderId="19" xfId="0" applyNumberFormat="1" applyFont="1" applyFill="1" applyBorder="1" applyAlignment="1">
      <alignment horizontal="right" vertical="center"/>
    </xf>
    <xf numFmtId="171" fontId="9" fillId="0" borderId="0" xfId="42" applyNumberFormat="1" applyFont="1" applyFill="1" applyBorder="1" applyAlignment="1">
      <alignment/>
    </xf>
    <xf numFmtId="0" fontId="9" fillId="0" borderId="0" xfId="0" applyFont="1" applyBorder="1" applyAlignment="1">
      <alignment horizontal="left" vertical="top"/>
    </xf>
    <xf numFmtId="0" fontId="8" fillId="0" borderId="0" xfId="0" applyFont="1" applyBorder="1" applyAlignment="1" quotePrefix="1">
      <alignment horizontal="right" vertical="center"/>
    </xf>
    <xf numFmtId="0" fontId="1" fillId="0" borderId="10" xfId="0" applyFont="1" applyBorder="1" applyAlignment="1">
      <alignment horizontal="right" vertical="center"/>
    </xf>
    <xf numFmtId="1" fontId="15" fillId="0" borderId="10" xfId="0" applyNumberFormat="1" applyFont="1" applyFill="1" applyBorder="1" applyAlignment="1">
      <alignment horizontal="center" vertical="center"/>
    </xf>
    <xf numFmtId="164" fontId="18" fillId="37" borderId="16" xfId="0" applyNumberFormat="1" applyFont="1" applyFill="1" applyBorder="1" applyAlignment="1">
      <alignment horizontal="right" vertical="center"/>
    </xf>
    <xf numFmtId="0" fontId="1" fillId="0" borderId="0" xfId="0" applyFont="1" applyFill="1" applyBorder="1" applyAlignment="1">
      <alignment horizontal="right" vertical="center"/>
    </xf>
    <xf numFmtId="4" fontId="0" fillId="0" borderId="0" xfId="0" applyNumberFormat="1" applyAlignment="1">
      <alignment/>
    </xf>
    <xf numFmtId="0" fontId="1" fillId="0" borderId="10" xfId="0" applyFont="1" applyBorder="1" applyAlignment="1">
      <alignment horizontal="right"/>
    </xf>
    <xf numFmtId="0" fontId="1" fillId="0" borderId="0" xfId="0" applyFont="1" applyBorder="1" applyAlignment="1">
      <alignment horizontal="right"/>
    </xf>
    <xf numFmtId="164" fontId="15" fillId="37" borderId="12"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164" fontId="15" fillId="37" borderId="16" xfId="0" applyNumberFormat="1" applyFont="1" applyFill="1" applyBorder="1" applyAlignment="1">
      <alignment horizontal="right" vertical="center"/>
    </xf>
    <xf numFmtId="164" fontId="1" fillId="37" borderId="19" xfId="0" applyNumberFormat="1" applyFont="1" applyFill="1" applyBorder="1" applyAlignment="1">
      <alignment horizontal="right" vertical="center"/>
    </xf>
    <xf numFmtId="2" fontId="1" fillId="0" borderId="16" xfId="0" applyNumberFormat="1" applyFont="1" applyFill="1" applyBorder="1" applyAlignment="1">
      <alignment horizontal="right" vertical="center"/>
    </xf>
    <xf numFmtId="0" fontId="1" fillId="0" borderId="10" xfId="0" applyFont="1" applyBorder="1" applyAlignment="1">
      <alignment horizontal="center"/>
    </xf>
    <xf numFmtId="2" fontId="1" fillId="0" borderId="12" xfId="0" applyNumberFormat="1" applyFont="1" applyFill="1" applyBorder="1" applyAlignment="1">
      <alignment horizontal="right" vertical="center"/>
    </xf>
    <xf numFmtId="164" fontId="1" fillId="0" borderId="27" xfId="0" applyNumberFormat="1" applyFont="1" applyFill="1" applyBorder="1" applyAlignment="1">
      <alignment horizontal="right" vertical="center"/>
    </xf>
    <xf numFmtId="164" fontId="1" fillId="0" borderId="28" xfId="0" applyNumberFormat="1" applyFont="1" applyFill="1" applyBorder="1" applyAlignment="1">
      <alignment horizontal="right" vertical="center"/>
    </xf>
    <xf numFmtId="0" fontId="15" fillId="0" borderId="0" xfId="0" applyNumberFormat="1" applyFont="1" applyAlignment="1">
      <alignment vertical="top"/>
    </xf>
    <xf numFmtId="0" fontId="15" fillId="0" borderId="0" xfId="0" applyNumberFormat="1" applyFont="1" applyBorder="1" applyAlignment="1">
      <alignment horizontal="left" vertical="top"/>
    </xf>
    <xf numFmtId="0" fontId="1" fillId="0" borderId="0" xfId="0" applyNumberFormat="1" applyFont="1" applyAlignment="1">
      <alignment vertical="top"/>
    </xf>
    <xf numFmtId="191" fontId="9" fillId="35" borderId="0" xfId="0" applyNumberFormat="1" applyFont="1" applyFill="1" applyBorder="1" applyAlignment="1">
      <alignment/>
    </xf>
    <xf numFmtId="164" fontId="10" fillId="0" borderId="0" xfId="0" applyNumberFormat="1" applyFont="1" applyFill="1" applyBorder="1" applyAlignment="1">
      <alignment/>
    </xf>
    <xf numFmtId="200" fontId="9" fillId="35" borderId="0" xfId="0" applyNumberFormat="1" applyFont="1" applyFill="1" applyBorder="1" applyAlignment="1">
      <alignment/>
    </xf>
    <xf numFmtId="191" fontId="9" fillId="0" borderId="0" xfId="0" applyNumberFormat="1" applyFont="1" applyFill="1" applyBorder="1" applyAlignment="1">
      <alignment/>
    </xf>
    <xf numFmtId="180" fontId="9" fillId="0" borderId="0" xfId="0" applyNumberFormat="1" applyFont="1" applyFill="1" applyBorder="1" applyAlignment="1">
      <alignment/>
    </xf>
    <xf numFmtId="191" fontId="9" fillId="0" borderId="0" xfId="0" applyNumberFormat="1" applyFont="1" applyFill="1" applyBorder="1" applyAlignment="1">
      <alignment horizontal="right"/>
    </xf>
    <xf numFmtId="0" fontId="1" fillId="35" borderId="12" xfId="0" applyFont="1" applyFill="1" applyBorder="1" applyAlignment="1">
      <alignment horizontal="right" vertical="center"/>
    </xf>
    <xf numFmtId="165" fontId="1" fillId="37" borderId="19" xfId="0" applyNumberFormat="1" applyFont="1" applyFill="1" applyBorder="1" applyAlignment="1">
      <alignment horizontal="right" vertical="center"/>
    </xf>
    <xf numFmtId="0" fontId="1" fillId="35" borderId="16" xfId="0" applyFont="1" applyFill="1" applyBorder="1" applyAlignment="1">
      <alignment horizontal="right" vertical="center"/>
    </xf>
    <xf numFmtId="3" fontId="9" fillId="0" borderId="29" xfId="42" applyNumberFormat="1" applyFont="1" applyFill="1" applyBorder="1" applyAlignment="1">
      <alignment horizontal="right"/>
    </xf>
    <xf numFmtId="3" fontId="9" fillId="0" borderId="30" xfId="42" applyNumberFormat="1" applyFont="1" applyFill="1" applyBorder="1" applyAlignment="1">
      <alignment horizontal="right"/>
    </xf>
    <xf numFmtId="191" fontId="9" fillId="0" borderId="10" xfId="0" applyNumberFormat="1" applyFont="1" applyFill="1" applyBorder="1" applyAlignment="1">
      <alignment horizontal="right"/>
    </xf>
    <xf numFmtId="191" fontId="9" fillId="35" borderId="10" xfId="0" applyNumberFormat="1" applyFont="1" applyFill="1" applyBorder="1" applyAlignment="1">
      <alignment/>
    </xf>
    <xf numFmtId="191" fontId="9" fillId="0" borderId="10" xfId="0" applyNumberFormat="1" applyFont="1" applyFill="1" applyBorder="1" applyAlignment="1">
      <alignment/>
    </xf>
    <xf numFmtId="164" fontId="10" fillId="0" borderId="10" xfId="0" applyNumberFormat="1" applyFont="1" applyFill="1" applyBorder="1" applyAlignment="1">
      <alignment/>
    </xf>
    <xf numFmtId="164" fontId="9" fillId="0" borderId="0" xfId="0" applyNumberFormat="1" applyFont="1" applyFill="1" applyBorder="1" applyAlignment="1">
      <alignment horizontal="right"/>
    </xf>
    <xf numFmtId="164" fontId="9" fillId="36" borderId="0" xfId="0" applyNumberFormat="1" applyFont="1" applyFill="1" applyBorder="1" applyAlignment="1">
      <alignment horizontal="right"/>
    </xf>
    <xf numFmtId="164" fontId="9" fillId="35" borderId="0" xfId="0" applyNumberFormat="1" applyFont="1" applyFill="1" applyBorder="1" applyAlignment="1">
      <alignment horizontal="right"/>
    </xf>
    <xf numFmtId="164" fontId="10" fillId="0" borderId="0" xfId="0" applyNumberFormat="1" applyFont="1" applyFill="1" applyBorder="1" applyAlignment="1">
      <alignment horizontal="right"/>
    </xf>
    <xf numFmtId="171" fontId="9" fillId="35" borderId="0" xfId="42" applyNumberFormat="1" applyFont="1" applyFill="1" applyBorder="1" applyAlignment="1">
      <alignment horizontal="right"/>
    </xf>
    <xf numFmtId="171" fontId="9" fillId="0" borderId="0" xfId="42" applyNumberFormat="1" applyFont="1" applyFill="1" applyBorder="1" applyAlignment="1">
      <alignment horizontal="right"/>
    </xf>
    <xf numFmtId="164" fontId="9" fillId="0" borderId="0" xfId="0" applyNumberFormat="1" applyFont="1" applyFill="1" applyBorder="1" applyAlignment="1">
      <alignment horizontal="right" vertical="center"/>
    </xf>
    <xf numFmtId="170" fontId="9" fillId="0" borderId="0" xfId="42" applyNumberFormat="1" applyFont="1" applyFill="1" applyBorder="1" applyAlignment="1">
      <alignment/>
    </xf>
    <xf numFmtId="170" fontId="9" fillId="0" borderId="10" xfId="42" applyNumberFormat="1" applyFont="1" applyFill="1" applyBorder="1" applyAlignment="1">
      <alignment/>
    </xf>
    <xf numFmtId="43" fontId="9" fillId="0" borderId="0" xfId="42" applyNumberFormat="1" applyFont="1" applyFill="1" applyBorder="1" applyAlignment="1">
      <alignment/>
    </xf>
    <xf numFmtId="171" fontId="9" fillId="0" borderId="0" xfId="0" applyNumberFormat="1" applyFont="1" applyFill="1" applyBorder="1" applyAlignment="1">
      <alignment/>
    </xf>
    <xf numFmtId="1" fontId="72" fillId="0" borderId="0" xfId="0" applyNumberFormat="1" applyFont="1" applyFill="1" applyBorder="1" applyAlignment="1">
      <alignment horizontal="right"/>
    </xf>
    <xf numFmtId="191" fontId="71" fillId="0" borderId="0" xfId="0" applyNumberFormat="1" applyFont="1" applyFill="1" applyBorder="1" applyAlignment="1">
      <alignment/>
    </xf>
    <xf numFmtId="191" fontId="71" fillId="0" borderId="10" xfId="0" applyNumberFormat="1" applyFont="1" applyFill="1" applyBorder="1" applyAlignment="1">
      <alignment/>
    </xf>
    <xf numFmtId="170" fontId="9" fillId="35" borderId="0" xfId="42" applyNumberFormat="1" applyFont="1" applyFill="1" applyBorder="1" applyAlignment="1">
      <alignment/>
    </xf>
    <xf numFmtId="0" fontId="15" fillId="36" borderId="11" xfId="0" applyFont="1" applyFill="1" applyBorder="1" applyAlignment="1">
      <alignment horizontal="center" vertical="center"/>
    </xf>
    <xf numFmtId="1" fontId="15" fillId="36" borderId="11" xfId="0" applyNumberFormat="1" applyFont="1" applyFill="1" applyBorder="1" applyAlignment="1">
      <alignment horizontal="center" vertical="center" wrapText="1"/>
    </xf>
    <xf numFmtId="1" fontId="16" fillId="36" borderId="20" xfId="0" applyNumberFormat="1" applyFont="1" applyFill="1" applyBorder="1" applyAlignment="1">
      <alignment horizontal="right" vertical="center" wrapText="1"/>
    </xf>
    <xf numFmtId="1" fontId="16" fillId="36" borderId="11" xfId="0" applyNumberFormat="1" applyFont="1" applyFill="1" applyBorder="1" applyAlignment="1">
      <alignment horizontal="center" vertical="center" wrapText="1"/>
    </xf>
    <xf numFmtId="0" fontId="15" fillId="36" borderId="20" xfId="0" applyFont="1" applyFill="1" applyBorder="1" applyAlignment="1">
      <alignment horizontal="right" vertical="center"/>
    </xf>
    <xf numFmtId="1" fontId="15" fillId="36" borderId="20" xfId="0" applyNumberFormat="1" applyFont="1" applyFill="1" applyBorder="1" applyAlignment="1">
      <alignment horizontal="right" vertical="center" wrapText="1"/>
    </xf>
    <xf numFmtId="0" fontId="0" fillId="36" borderId="18" xfId="0" applyFill="1" applyBorder="1" applyAlignment="1">
      <alignment/>
    </xf>
    <xf numFmtId="0" fontId="0" fillId="36" borderId="11" xfId="0" applyFill="1" applyBorder="1" applyAlignment="1">
      <alignment/>
    </xf>
    <xf numFmtId="0" fontId="15" fillId="36" borderId="20" xfId="0" applyFont="1" applyFill="1" applyBorder="1" applyAlignment="1" quotePrefix="1">
      <alignment horizontal="right" vertical="center"/>
    </xf>
    <xf numFmtId="0" fontId="15" fillId="36" borderId="11" xfId="0" applyFont="1" applyFill="1" applyBorder="1" applyAlignment="1" quotePrefix="1">
      <alignment horizontal="center" vertical="center"/>
    </xf>
    <xf numFmtId="1" fontId="15" fillId="36" borderId="18" xfId="0" applyNumberFormat="1" applyFont="1" applyFill="1" applyBorder="1" applyAlignment="1">
      <alignment horizontal="right" vertical="center" wrapText="1"/>
    </xf>
    <xf numFmtId="1" fontId="15" fillId="36" borderId="10" xfId="0" applyNumberFormat="1" applyFont="1" applyFill="1" applyBorder="1" applyAlignment="1">
      <alignment horizontal="center" vertical="center" wrapText="1"/>
    </xf>
    <xf numFmtId="1" fontId="15" fillId="36" borderId="10" xfId="0" applyNumberFormat="1" applyFont="1" applyFill="1" applyBorder="1" applyAlignment="1">
      <alignment horizontal="right" vertical="center" wrapText="1"/>
    </xf>
    <xf numFmtId="165" fontId="15" fillId="37" borderId="17" xfId="0" applyNumberFormat="1" applyFont="1" applyFill="1" applyBorder="1" applyAlignment="1">
      <alignment horizontal="right" vertical="center"/>
    </xf>
    <xf numFmtId="166" fontId="20" fillId="37" borderId="17" xfId="0" applyNumberFormat="1" applyFont="1" applyFill="1" applyBorder="1" applyAlignment="1">
      <alignment vertical="center"/>
    </xf>
    <xf numFmtId="165" fontId="15" fillId="37" borderId="17" xfId="0" applyNumberFormat="1" applyFont="1" applyFill="1" applyBorder="1" applyAlignment="1">
      <alignment horizontal="right" vertical="center" wrapText="1"/>
    </xf>
    <xf numFmtId="176" fontId="15" fillId="37" borderId="13" xfId="0" applyNumberFormat="1" applyFont="1" applyFill="1" applyBorder="1" applyAlignment="1">
      <alignment horizontal="right" vertical="center" wrapText="1"/>
    </xf>
    <xf numFmtId="176" fontId="15" fillId="37" borderId="14" xfId="0" applyNumberFormat="1" applyFont="1" applyFill="1" applyBorder="1" applyAlignment="1">
      <alignment horizontal="right" vertical="center" wrapText="1"/>
    </xf>
    <xf numFmtId="202" fontId="15" fillId="37" borderId="14" xfId="0" applyNumberFormat="1" applyFont="1" applyFill="1" applyBorder="1" applyAlignment="1">
      <alignment horizontal="right" vertical="center" wrapText="1"/>
    </xf>
    <xf numFmtId="176" fontId="15" fillId="37" borderId="17" xfId="0" applyNumberFormat="1" applyFont="1" applyFill="1" applyBorder="1" applyAlignment="1">
      <alignment horizontal="right" vertical="center" wrapText="1"/>
    </xf>
    <xf numFmtId="165" fontId="15" fillId="37" borderId="11" xfId="0" applyNumberFormat="1" applyFont="1" applyFill="1" applyBorder="1" applyAlignment="1">
      <alignment horizontal="right" vertical="center"/>
    </xf>
    <xf numFmtId="166" fontId="15" fillId="37" borderId="20" xfId="0" applyNumberFormat="1" applyFont="1" applyFill="1" applyBorder="1" applyAlignment="1">
      <alignment vertical="center"/>
    </xf>
    <xf numFmtId="166" fontId="20" fillId="37" borderId="11" xfId="0" applyNumberFormat="1" applyFont="1" applyFill="1" applyBorder="1" applyAlignment="1">
      <alignment vertical="center"/>
    </xf>
    <xf numFmtId="165" fontId="15" fillId="37" borderId="11" xfId="0" applyNumberFormat="1" applyFont="1" applyFill="1" applyBorder="1" applyAlignment="1">
      <alignment horizontal="right" vertical="center" wrapText="1"/>
    </xf>
    <xf numFmtId="202" fontId="15" fillId="37" borderId="20" xfId="0" applyNumberFormat="1" applyFont="1" applyFill="1" applyBorder="1" applyAlignment="1">
      <alignment horizontal="right" vertical="center" wrapText="1"/>
    </xf>
    <xf numFmtId="202" fontId="15" fillId="37" borderId="0" xfId="0" applyNumberFormat="1" applyFont="1" applyFill="1" applyBorder="1" applyAlignment="1">
      <alignment horizontal="right" vertical="center" wrapText="1"/>
    </xf>
    <xf numFmtId="202" fontId="15" fillId="37" borderId="11" xfId="0" applyNumberFormat="1" applyFont="1" applyFill="1" applyBorder="1" applyAlignment="1">
      <alignment horizontal="right" vertical="center" wrapText="1"/>
    </xf>
    <xf numFmtId="165" fontId="15" fillId="37" borderId="19" xfId="0" applyNumberFormat="1" applyFont="1" applyFill="1" applyBorder="1" applyAlignment="1">
      <alignment horizontal="right" vertical="center"/>
    </xf>
    <xf numFmtId="166" fontId="15" fillId="37" borderId="18" xfId="0" applyNumberFormat="1" applyFont="1" applyFill="1" applyBorder="1" applyAlignment="1">
      <alignment vertical="center"/>
    </xf>
    <xf numFmtId="165" fontId="20" fillId="37" borderId="19" xfId="0" applyNumberFormat="1" applyFont="1" applyFill="1" applyBorder="1" applyAlignment="1">
      <alignment horizontal="right" vertical="center"/>
    </xf>
    <xf numFmtId="165" fontId="15" fillId="37" borderId="19" xfId="0" applyNumberFormat="1" applyFont="1" applyFill="1" applyBorder="1" applyAlignment="1">
      <alignment horizontal="right" vertical="center" wrapText="1"/>
    </xf>
    <xf numFmtId="202" fontId="18" fillId="37" borderId="10" xfId="0" applyNumberFormat="1" applyFont="1" applyFill="1" applyBorder="1" applyAlignment="1">
      <alignment horizontal="right" vertical="center" wrapText="1"/>
    </xf>
    <xf numFmtId="202" fontId="15" fillId="37" borderId="19" xfId="0" applyNumberFormat="1" applyFont="1" applyFill="1" applyBorder="1" applyAlignment="1">
      <alignment horizontal="right" vertical="center" wrapText="1"/>
    </xf>
    <xf numFmtId="164" fontId="1" fillId="0" borderId="20" xfId="0" applyNumberFormat="1" applyFont="1" applyBorder="1" applyAlignment="1">
      <alignment vertical="center"/>
    </xf>
    <xf numFmtId="165" fontId="1" fillId="0" borderId="11" xfId="0" applyNumberFormat="1" applyFont="1" applyFill="1" applyBorder="1" applyAlignment="1">
      <alignment horizontal="right" vertical="center"/>
    </xf>
    <xf numFmtId="167" fontId="1" fillId="0" borderId="20" xfId="0" applyNumberFormat="1" applyFont="1" applyFill="1" applyBorder="1" applyAlignment="1">
      <alignment horizontal="right" vertical="center" wrapText="1"/>
    </xf>
    <xf numFmtId="166" fontId="21" fillId="0" borderId="11" xfId="0" applyNumberFormat="1" applyFont="1" applyBorder="1" applyAlignment="1">
      <alignment vertical="center"/>
    </xf>
    <xf numFmtId="165" fontId="1" fillId="0" borderId="11" xfId="0" applyNumberFormat="1" applyFont="1" applyFill="1" applyBorder="1" applyAlignment="1">
      <alignment horizontal="right" vertical="center" wrapText="1"/>
    </xf>
    <xf numFmtId="176" fontId="1" fillId="0" borderId="0" xfId="0" applyNumberFormat="1" applyFont="1" applyFill="1" applyBorder="1" applyAlignment="1">
      <alignment horizontal="right" vertical="center" wrapText="1"/>
    </xf>
    <xf numFmtId="176" fontId="1" fillId="0" borderId="11" xfId="0" applyNumberFormat="1" applyFont="1" applyFill="1" applyBorder="1" applyAlignment="1">
      <alignment horizontal="right" vertical="center" wrapText="1"/>
    </xf>
    <xf numFmtId="164" fontId="1" fillId="37" borderId="20" xfId="0" applyNumberFormat="1" applyFont="1" applyFill="1" applyBorder="1" applyAlignment="1">
      <alignment vertical="center"/>
    </xf>
    <xf numFmtId="165" fontId="1" fillId="37" borderId="11" xfId="0" applyNumberFormat="1" applyFont="1" applyFill="1" applyBorder="1" applyAlignment="1">
      <alignment horizontal="right" vertical="center"/>
    </xf>
    <xf numFmtId="167" fontId="1" fillId="37" borderId="20" xfId="0" applyNumberFormat="1" applyFont="1" applyFill="1" applyBorder="1" applyAlignment="1">
      <alignment horizontal="right" vertical="center" wrapText="1"/>
    </xf>
    <xf numFmtId="166" fontId="21" fillId="37" borderId="11" xfId="0" applyNumberFormat="1" applyFont="1" applyFill="1" applyBorder="1" applyAlignment="1">
      <alignment vertical="center"/>
    </xf>
    <xf numFmtId="165" fontId="1" fillId="37" borderId="11" xfId="0" applyNumberFormat="1" applyFont="1" applyFill="1" applyBorder="1" applyAlignment="1">
      <alignment horizontal="right" vertical="center" wrapText="1"/>
    </xf>
    <xf numFmtId="176" fontId="1" fillId="37" borderId="0" xfId="0" applyNumberFormat="1" applyFont="1" applyFill="1" applyBorder="1" applyAlignment="1">
      <alignment horizontal="right" vertical="center" wrapText="1"/>
    </xf>
    <xf numFmtId="176" fontId="1" fillId="37" borderId="11" xfId="0" applyNumberFormat="1" applyFont="1" applyFill="1" applyBorder="1" applyAlignment="1">
      <alignment horizontal="right" vertical="center" wrapText="1"/>
    </xf>
    <xf numFmtId="164" fontId="1" fillId="37" borderId="18" xfId="0" applyNumberFormat="1" applyFont="1" applyFill="1" applyBorder="1" applyAlignment="1">
      <alignment vertical="center"/>
    </xf>
    <xf numFmtId="166" fontId="21" fillId="37" borderId="19" xfId="0" applyNumberFormat="1" applyFont="1" applyFill="1" applyBorder="1" applyAlignment="1">
      <alignment vertical="center"/>
    </xf>
    <xf numFmtId="165" fontId="1" fillId="37" borderId="19" xfId="0" applyNumberFormat="1" applyFont="1" applyFill="1" applyBorder="1" applyAlignment="1">
      <alignment horizontal="right" vertical="center" wrapText="1"/>
    </xf>
    <xf numFmtId="176" fontId="1" fillId="37" borderId="10" xfId="0" applyNumberFormat="1" applyFont="1" applyFill="1" applyBorder="1" applyAlignment="1">
      <alignment horizontal="right" vertical="center" wrapText="1"/>
    </xf>
    <xf numFmtId="176" fontId="1" fillId="37" borderId="19" xfId="0" applyNumberFormat="1" applyFont="1" applyFill="1" applyBorder="1" applyAlignment="1">
      <alignment horizontal="right" vertical="center" wrapText="1"/>
    </xf>
    <xf numFmtId="164" fontId="1" fillId="0" borderId="20" xfId="0" applyNumberFormat="1" applyFont="1" applyFill="1" applyBorder="1" applyAlignment="1">
      <alignment horizontal="right" vertical="center" wrapText="1"/>
    </xf>
    <xf numFmtId="176" fontId="17" fillId="0" borderId="0" xfId="0" applyNumberFormat="1" applyFont="1" applyFill="1" applyBorder="1" applyAlignment="1">
      <alignment horizontal="right" vertical="center" wrapText="1"/>
    </xf>
    <xf numFmtId="164" fontId="1" fillId="37" borderId="20" xfId="0" applyNumberFormat="1" applyFont="1" applyFill="1" applyBorder="1" applyAlignment="1">
      <alignment horizontal="right" vertical="center" wrapText="1"/>
    </xf>
    <xf numFmtId="176" fontId="17" fillId="37" borderId="0" xfId="0" applyNumberFormat="1" applyFont="1" applyFill="1" applyBorder="1" applyAlignment="1">
      <alignment horizontal="right" vertical="center" wrapText="1"/>
    </xf>
    <xf numFmtId="176" fontId="17" fillId="37" borderId="10" xfId="0" applyNumberFormat="1" applyFont="1" applyFill="1" applyBorder="1" applyAlignment="1">
      <alignment horizontal="right" vertical="center" wrapText="1"/>
    </xf>
    <xf numFmtId="0" fontId="15" fillId="0" borderId="0" xfId="0" applyFont="1" applyFill="1" applyBorder="1" applyAlignment="1">
      <alignment horizontal="left"/>
    </xf>
    <xf numFmtId="164" fontId="15" fillId="37" borderId="12" xfId="0" applyNumberFormat="1" applyFont="1" applyFill="1" applyBorder="1" applyAlignment="1">
      <alignment horizontal="center" vertical="center"/>
    </xf>
    <xf numFmtId="164" fontId="15" fillId="37" borderId="15" xfId="0" applyNumberFormat="1" applyFont="1" applyFill="1" applyBorder="1" applyAlignment="1">
      <alignment horizontal="center" vertical="center"/>
    </xf>
    <xf numFmtId="164" fontId="15" fillId="37" borderId="16" xfId="0" applyNumberFormat="1" applyFont="1" applyFill="1" applyBorder="1" applyAlignment="1">
      <alignment horizontal="center" vertical="center"/>
    </xf>
    <xf numFmtId="164" fontId="17" fillId="37" borderId="20" xfId="0" applyNumberFormat="1" applyFont="1" applyFill="1" applyBorder="1" applyAlignment="1">
      <alignment horizontal="right" vertical="center"/>
    </xf>
    <xf numFmtId="164" fontId="17" fillId="37" borderId="11" xfId="0" applyNumberFormat="1" applyFont="1" applyFill="1" applyBorder="1" applyAlignment="1">
      <alignment horizontal="right" vertical="center"/>
    </xf>
    <xf numFmtId="164" fontId="17" fillId="37" borderId="15" xfId="0" applyNumberFormat="1" applyFont="1" applyFill="1" applyBorder="1" applyAlignment="1">
      <alignment horizontal="center" vertical="center"/>
    </xf>
    <xf numFmtId="164" fontId="17" fillId="0" borderId="20" xfId="0" applyNumberFormat="1" applyFont="1" applyFill="1" applyBorder="1" applyAlignment="1">
      <alignment horizontal="right" vertical="center"/>
    </xf>
    <xf numFmtId="164" fontId="1" fillId="37" borderId="18" xfId="0" applyNumberFormat="1" applyFont="1" applyFill="1" applyBorder="1" applyAlignment="1">
      <alignment horizontal="right" vertical="center"/>
    </xf>
    <xf numFmtId="164" fontId="1" fillId="37" borderId="16" xfId="0" applyNumberFormat="1" applyFont="1" applyFill="1" applyBorder="1" applyAlignment="1">
      <alignment horizontal="center" vertical="center"/>
    </xf>
    <xf numFmtId="164" fontId="17" fillId="0" borderId="14" xfId="0" applyNumberFormat="1" applyFont="1" applyFill="1" applyBorder="1" applyAlignment="1">
      <alignment horizontal="right" vertical="center"/>
    </xf>
    <xf numFmtId="164" fontId="1" fillId="0" borderId="16" xfId="0" applyNumberFormat="1" applyFont="1" applyFill="1" applyBorder="1" applyAlignment="1">
      <alignment horizontal="center" vertical="center"/>
    </xf>
    <xf numFmtId="0" fontId="15" fillId="0" borderId="0" xfId="0" applyFont="1" applyFill="1" applyBorder="1" applyAlignment="1" quotePrefix="1">
      <alignment wrapText="1"/>
    </xf>
    <xf numFmtId="0" fontId="15" fillId="0" borderId="0" xfId="0" applyFont="1" applyAlignment="1">
      <alignment horizontal="left" vertical="top"/>
    </xf>
    <xf numFmtId="0" fontId="0" fillId="0" borderId="0" xfId="0" applyNumberFormat="1" applyFont="1" applyFill="1" applyBorder="1" applyAlignment="1">
      <alignment/>
    </xf>
    <xf numFmtId="0" fontId="1" fillId="0" borderId="0" xfId="0" applyFont="1" applyBorder="1" applyAlignment="1">
      <alignment/>
    </xf>
    <xf numFmtId="0" fontId="15" fillId="42" borderId="15" xfId="0" applyFont="1" applyFill="1" applyBorder="1" applyAlignment="1">
      <alignment horizontal="center" vertical="center"/>
    </xf>
    <xf numFmtId="2" fontId="1" fillId="42" borderId="15" xfId="0" applyNumberFormat="1" applyFont="1" applyFill="1" applyBorder="1" applyAlignment="1">
      <alignment horizontal="right" vertical="center"/>
    </xf>
    <xf numFmtId="164" fontId="1" fillId="42" borderId="0" xfId="0" applyNumberFormat="1" applyFont="1" applyFill="1" applyBorder="1" applyAlignment="1">
      <alignment horizontal="right" vertical="center"/>
    </xf>
    <xf numFmtId="164" fontId="1" fillId="42" borderId="15" xfId="0" applyNumberFormat="1" applyFont="1" applyFill="1" applyBorder="1" applyAlignment="1">
      <alignment horizontal="center" vertical="center"/>
    </xf>
    <xf numFmtId="2" fontId="1" fillId="39" borderId="15" xfId="0" applyNumberFormat="1" applyFont="1" applyFill="1" applyBorder="1" applyAlignment="1">
      <alignment horizontal="right" vertical="center"/>
    </xf>
    <xf numFmtId="164" fontId="1" fillId="39" borderId="31" xfId="0" applyNumberFormat="1" applyFont="1" applyFill="1" applyBorder="1" applyAlignment="1">
      <alignment horizontal="right" vertical="center"/>
    </xf>
    <xf numFmtId="1" fontId="27" fillId="43" borderId="14" xfId="0" applyNumberFormat="1" applyFont="1" applyFill="1" applyBorder="1" applyAlignment="1">
      <alignment horizontal="center" vertical="center"/>
    </xf>
    <xf numFmtId="0" fontId="13" fillId="0" borderId="0" xfId="0" applyNumberFormat="1" applyFont="1" applyBorder="1" applyAlignment="1">
      <alignment horizontal="center" vertical="top"/>
    </xf>
    <xf numFmtId="164" fontId="17" fillId="42" borderId="0" xfId="0" applyNumberFormat="1" applyFont="1" applyFill="1" applyBorder="1" applyAlignment="1">
      <alignment horizontal="right" vertical="center"/>
    </xf>
    <xf numFmtId="164" fontId="1" fillId="39" borderId="10" xfId="0" applyNumberFormat="1" applyFont="1" applyFill="1" applyBorder="1" applyAlignment="1">
      <alignment horizontal="right" vertical="center"/>
    </xf>
    <xf numFmtId="164" fontId="17" fillId="37" borderId="0" xfId="0" applyNumberFormat="1" applyFont="1" applyFill="1" applyBorder="1" applyAlignment="1">
      <alignment horizontal="right"/>
    </xf>
    <xf numFmtId="164" fontId="17" fillId="39" borderId="0" xfId="0" applyNumberFormat="1" applyFont="1" applyFill="1" applyBorder="1" applyAlignment="1">
      <alignment horizontal="right" vertical="center"/>
    </xf>
    <xf numFmtId="164" fontId="17" fillId="0" borderId="0" xfId="0" applyNumberFormat="1" applyFont="1" applyFill="1" applyBorder="1" applyAlignment="1">
      <alignment horizontal="center" vertical="center"/>
    </xf>
    <xf numFmtId="164" fontId="17" fillId="39" borderId="0" xfId="0" applyNumberFormat="1" applyFont="1" applyFill="1" applyBorder="1" applyAlignment="1">
      <alignment horizontal="center" vertical="center"/>
    </xf>
    <xf numFmtId="164" fontId="17" fillId="0" borderId="14" xfId="0" applyNumberFormat="1" applyFont="1" applyFill="1" applyBorder="1" applyAlignment="1">
      <alignment horizontal="center" vertical="center"/>
    </xf>
    <xf numFmtId="0" fontId="15" fillId="39" borderId="16" xfId="0" applyFont="1" applyFill="1" applyBorder="1" applyAlignment="1">
      <alignment horizontal="center" vertical="center"/>
    </xf>
    <xf numFmtId="164" fontId="17" fillId="39" borderId="10" xfId="0" applyNumberFormat="1" applyFont="1" applyFill="1" applyBorder="1" applyAlignment="1">
      <alignment horizontal="right" vertical="center"/>
    </xf>
    <xf numFmtId="164" fontId="1" fillId="39" borderId="20" xfId="0" applyNumberFormat="1" applyFont="1" applyFill="1" applyBorder="1" applyAlignment="1">
      <alignment horizontal="right" vertical="center"/>
    </xf>
    <xf numFmtId="164" fontId="1" fillId="39" borderId="25" xfId="0" applyNumberFormat="1" applyFont="1" applyFill="1" applyBorder="1" applyAlignment="1">
      <alignment horizontal="right" vertical="center"/>
    </xf>
    <xf numFmtId="164" fontId="1" fillId="39" borderId="15" xfId="0" applyNumberFormat="1" applyFont="1" applyFill="1" applyBorder="1" applyAlignment="1">
      <alignment horizontal="right" vertical="center"/>
    </xf>
    <xf numFmtId="164" fontId="1" fillId="39" borderId="16" xfId="0" applyNumberFormat="1" applyFont="1" applyFill="1" applyBorder="1" applyAlignment="1">
      <alignment horizontal="right" vertical="center"/>
    </xf>
    <xf numFmtId="2" fontId="1" fillId="39" borderId="16" xfId="0" applyNumberFormat="1" applyFont="1" applyFill="1" applyBorder="1" applyAlignment="1">
      <alignment horizontal="right" vertical="center"/>
    </xf>
    <xf numFmtId="164" fontId="1" fillId="39" borderId="15" xfId="0" applyNumberFormat="1" applyFont="1" applyFill="1" applyBorder="1" applyAlignment="1">
      <alignment horizontal="center" vertical="center"/>
    </xf>
    <xf numFmtId="164" fontId="1" fillId="39" borderId="16" xfId="0" applyNumberFormat="1" applyFont="1" applyFill="1" applyBorder="1" applyAlignment="1">
      <alignment horizontal="center" vertical="center"/>
    </xf>
    <xf numFmtId="164" fontId="1" fillId="39" borderId="18" xfId="0" applyNumberFormat="1" applyFont="1" applyFill="1" applyBorder="1" applyAlignment="1">
      <alignment horizontal="right" vertical="center"/>
    </xf>
    <xf numFmtId="0" fontId="74" fillId="0" borderId="0" xfId="60" applyFont="1" applyFill="1" applyAlignment="1" applyProtection="1">
      <alignment/>
      <protection/>
    </xf>
    <xf numFmtId="0" fontId="66" fillId="0" borderId="0" xfId="60" applyFill="1" applyAlignment="1" applyProtection="1">
      <alignment/>
      <protection/>
    </xf>
    <xf numFmtId="211" fontId="1" fillId="44" borderId="0" xfId="0" applyNumberFormat="1" applyFont="1" applyFill="1" applyAlignment="1">
      <alignment horizontal="right" vertical="center"/>
    </xf>
    <xf numFmtId="211" fontId="1" fillId="0" borderId="0" xfId="0" applyNumberFormat="1" applyFont="1" applyAlignment="1">
      <alignment horizontal="right" vertical="center"/>
    </xf>
    <xf numFmtId="211" fontId="1" fillId="37" borderId="0" xfId="0" applyNumberFormat="1" applyFont="1" applyFill="1" applyAlignment="1">
      <alignment horizontal="right" vertical="center"/>
    </xf>
    <xf numFmtId="211" fontId="1" fillId="0" borderId="20" xfId="0" applyNumberFormat="1" applyFont="1" applyFill="1" applyBorder="1" applyAlignment="1">
      <alignment horizontal="right" vertical="center"/>
    </xf>
    <xf numFmtId="211" fontId="1" fillId="0" borderId="0" xfId="0" applyNumberFormat="1" applyFont="1" applyFill="1" applyBorder="1" applyAlignment="1">
      <alignment horizontal="right" vertical="center"/>
    </xf>
    <xf numFmtId="211" fontId="1" fillId="0" borderId="11" xfId="0" applyNumberFormat="1" applyFont="1" applyFill="1" applyBorder="1" applyAlignment="1">
      <alignment horizontal="right" vertical="center"/>
    </xf>
    <xf numFmtId="211" fontId="1" fillId="39" borderId="0" xfId="0" applyNumberFormat="1" applyFont="1" applyFill="1" applyBorder="1" applyAlignment="1">
      <alignment horizontal="right" vertical="center"/>
    </xf>
    <xf numFmtId="211" fontId="1" fillId="45" borderId="0" xfId="0" applyNumberFormat="1" applyFont="1" applyFill="1" applyBorder="1" applyAlignment="1">
      <alignment horizontal="right" vertical="center"/>
    </xf>
    <xf numFmtId="211" fontId="1" fillId="0" borderId="0" xfId="0" applyNumberFormat="1" applyFont="1" applyFill="1" applyAlignment="1">
      <alignment horizontal="right" vertical="center"/>
    </xf>
    <xf numFmtId="211" fontId="1" fillId="45" borderId="0" xfId="0" applyNumberFormat="1" applyFont="1" applyFill="1" applyAlignment="1">
      <alignment horizontal="right" vertical="center"/>
    </xf>
    <xf numFmtId="211" fontId="1" fillId="39" borderId="0" xfId="0" applyNumberFormat="1" applyFont="1" applyFill="1" applyAlignment="1">
      <alignment horizontal="right" vertical="center"/>
    </xf>
    <xf numFmtId="211" fontId="1" fillId="39" borderId="18" xfId="0" applyNumberFormat="1" applyFont="1" applyFill="1" applyBorder="1" applyAlignment="1">
      <alignment horizontal="right" vertical="center"/>
    </xf>
    <xf numFmtId="211" fontId="1" fillId="39" borderId="10" xfId="0" applyNumberFormat="1" applyFont="1" applyFill="1" applyBorder="1" applyAlignment="1">
      <alignment horizontal="right" vertical="center"/>
    </xf>
    <xf numFmtId="211" fontId="1" fillId="45" borderId="10" xfId="0" applyNumberFormat="1" applyFont="1" applyFill="1" applyBorder="1" applyAlignment="1">
      <alignment horizontal="right" vertical="center"/>
    </xf>
    <xf numFmtId="195" fontId="1" fillId="39" borderId="20" xfId="0" applyNumberFormat="1" applyFont="1" applyFill="1" applyBorder="1" applyAlignment="1">
      <alignment horizontal="right" vertical="center"/>
    </xf>
    <xf numFmtId="195" fontId="1" fillId="39" borderId="0" xfId="0" applyNumberFormat="1" applyFont="1" applyFill="1" applyBorder="1" applyAlignment="1">
      <alignment horizontal="right" vertical="center"/>
    </xf>
    <xf numFmtId="0" fontId="15" fillId="39" borderId="11" xfId="0" applyFont="1" applyFill="1" applyBorder="1" applyAlignment="1">
      <alignment horizontal="center" vertical="center"/>
    </xf>
    <xf numFmtId="195" fontId="1" fillId="39" borderId="18" xfId="0" applyNumberFormat="1" applyFont="1" applyFill="1" applyBorder="1" applyAlignment="1">
      <alignment horizontal="right" vertical="center"/>
    </xf>
    <xf numFmtId="195" fontId="1" fillId="39" borderId="10" xfId="0" applyNumberFormat="1" applyFont="1" applyFill="1" applyBorder="1" applyAlignment="1">
      <alignment horizontal="right" vertical="center"/>
    </xf>
    <xf numFmtId="0" fontId="15" fillId="39" borderId="19" xfId="0" applyFont="1" applyFill="1" applyBorder="1" applyAlignment="1">
      <alignment horizontal="center" vertical="center"/>
    </xf>
    <xf numFmtId="164" fontId="1" fillId="39" borderId="10" xfId="0" applyNumberFormat="1" applyFont="1" applyFill="1" applyBorder="1" applyAlignment="1">
      <alignment vertical="center"/>
    </xf>
    <xf numFmtId="164" fontId="1" fillId="39" borderId="0" xfId="0" applyNumberFormat="1" applyFont="1" applyFill="1" applyBorder="1" applyAlignment="1">
      <alignment vertical="center"/>
    </xf>
    <xf numFmtId="0" fontId="8" fillId="0" borderId="0" xfId="0" applyFont="1" applyAlignment="1">
      <alignment horizontal="center"/>
    </xf>
    <xf numFmtId="1" fontId="9" fillId="0" borderId="0" xfId="0" applyNumberFormat="1" applyFont="1" applyAlignment="1">
      <alignment horizontal="center"/>
    </xf>
    <xf numFmtId="9" fontId="9" fillId="0" borderId="0" xfId="0" applyNumberFormat="1" applyFont="1" applyAlignment="1">
      <alignment horizontal="center"/>
    </xf>
    <xf numFmtId="0" fontId="15" fillId="0" borderId="0" xfId="0" applyFont="1" applyAlignment="1">
      <alignment horizontal="center"/>
    </xf>
    <xf numFmtId="1" fontId="1" fillId="0" borderId="0" xfId="0" applyNumberFormat="1" applyFont="1" applyAlignment="1">
      <alignment horizontal="center"/>
    </xf>
    <xf numFmtId="0" fontId="1" fillId="0" borderId="0" xfId="0" applyFont="1" applyBorder="1" applyAlignment="1" applyProtection="1">
      <alignment horizontal="right" vertical="center"/>
      <protection/>
    </xf>
    <xf numFmtId="0" fontId="16" fillId="35" borderId="17" xfId="0" applyFont="1" applyFill="1" applyBorder="1" applyAlignment="1">
      <alignment horizontal="center" wrapText="1"/>
    </xf>
    <xf numFmtId="1" fontId="15" fillId="35" borderId="20" xfId="0" applyNumberFormat="1" applyFont="1" applyFill="1" applyBorder="1" applyAlignment="1">
      <alignment horizontal="center" vertical="center"/>
    </xf>
    <xf numFmtId="0" fontId="15" fillId="35" borderId="0" xfId="0" applyFont="1" applyFill="1" applyBorder="1" applyAlignment="1">
      <alignment horizontal="center" vertical="top"/>
    </xf>
    <xf numFmtId="0" fontId="15" fillId="35" borderId="10" xfId="0" applyFont="1" applyFill="1" applyBorder="1" applyAlignment="1">
      <alignment horizontal="center" vertical="top"/>
    </xf>
    <xf numFmtId="0" fontId="15" fillId="35" borderId="19" xfId="0" applyFont="1" applyFill="1" applyBorder="1" applyAlignment="1">
      <alignment horizontal="center" vertical="top"/>
    </xf>
    <xf numFmtId="0" fontId="15" fillId="39" borderId="12" xfId="0" applyFont="1" applyFill="1" applyBorder="1" applyAlignment="1">
      <alignment horizontal="center" vertical="center"/>
    </xf>
    <xf numFmtId="164" fontId="15" fillId="39" borderId="12" xfId="0" applyNumberFormat="1" applyFont="1" applyFill="1" applyBorder="1" applyAlignment="1">
      <alignment horizontal="right"/>
    </xf>
    <xf numFmtId="164" fontId="15" fillId="39" borderId="15" xfId="0" applyNumberFormat="1" applyFont="1" applyFill="1" applyBorder="1" applyAlignment="1">
      <alignment horizontal="right"/>
    </xf>
    <xf numFmtId="164" fontId="15" fillId="39" borderId="16" xfId="0" applyNumberFormat="1" applyFont="1" applyFill="1" applyBorder="1" applyAlignment="1">
      <alignment horizontal="right"/>
    </xf>
    <xf numFmtId="164" fontId="1" fillId="0" borderId="12" xfId="0" applyNumberFormat="1" applyFont="1" applyFill="1" applyBorder="1" applyAlignment="1">
      <alignment horizontal="right" vertical="center"/>
    </xf>
    <xf numFmtId="164" fontId="1" fillId="0" borderId="15" xfId="0" applyNumberFormat="1" applyFont="1" applyFill="1" applyBorder="1" applyAlignment="1">
      <alignment horizontal="right" vertical="center" wrapText="1"/>
    </xf>
    <xf numFmtId="164" fontId="1" fillId="39" borderId="19" xfId="0" applyNumberFormat="1" applyFont="1" applyFill="1" applyBorder="1" applyAlignment="1">
      <alignment horizontal="right" vertical="center"/>
    </xf>
    <xf numFmtId="0" fontId="9" fillId="0" borderId="0" xfId="0" applyFont="1" applyBorder="1" applyAlignment="1">
      <alignment vertical="top" wrapText="1"/>
    </xf>
    <xf numFmtId="0" fontId="9" fillId="0" borderId="0" xfId="0" applyFont="1" applyBorder="1" applyAlignment="1">
      <alignment/>
    </xf>
    <xf numFmtId="0" fontId="15" fillId="35" borderId="16" xfId="0" applyFont="1" applyFill="1" applyBorder="1" applyAlignment="1">
      <alignment horizontal="center" vertical="center"/>
    </xf>
    <xf numFmtId="0" fontId="0" fillId="0" borderId="0" xfId="62" applyNumberFormat="1" applyFont="1" applyFill="1" applyBorder="1" applyAlignment="1">
      <alignment/>
      <protection/>
    </xf>
    <xf numFmtId="0" fontId="12" fillId="0" borderId="0" xfId="62">
      <alignment/>
      <protection/>
    </xf>
    <xf numFmtId="214" fontId="0" fillId="0" borderId="0" xfId="62" applyNumberFormat="1" applyFont="1" applyFill="1" applyBorder="1" applyAlignment="1">
      <alignment/>
      <protection/>
    </xf>
    <xf numFmtId="3" fontId="15" fillId="37" borderId="20" xfId="0" applyNumberFormat="1" applyFont="1" applyFill="1" applyBorder="1" applyAlignment="1">
      <alignment horizontal="right"/>
    </xf>
    <xf numFmtId="3" fontId="15" fillId="37" borderId="15" xfId="0" applyNumberFormat="1" applyFont="1" applyFill="1" applyBorder="1" applyAlignment="1">
      <alignment horizontal="right"/>
    </xf>
    <xf numFmtId="3" fontId="1" fillId="39" borderId="20" xfId="0" applyNumberFormat="1" applyFont="1" applyFill="1" applyBorder="1" applyAlignment="1">
      <alignment horizontal="right" vertical="center"/>
    </xf>
    <xf numFmtId="3" fontId="1" fillId="39" borderId="15" xfId="0" applyNumberFormat="1" applyFont="1" applyFill="1" applyBorder="1" applyAlignment="1">
      <alignment horizontal="right" vertical="center"/>
    </xf>
    <xf numFmtId="196" fontId="1" fillId="39" borderId="15" xfId="0" applyNumberFormat="1" applyFont="1" applyFill="1" applyBorder="1" applyAlignment="1">
      <alignment vertical="center"/>
    </xf>
    <xf numFmtId="196" fontId="1" fillId="39" borderId="16" xfId="0" applyNumberFormat="1" applyFont="1" applyFill="1" applyBorder="1" applyAlignment="1">
      <alignment vertical="center"/>
    </xf>
    <xf numFmtId="3" fontId="15" fillId="39" borderId="20" xfId="0" applyNumberFormat="1" applyFont="1" applyFill="1" applyBorder="1" applyAlignment="1">
      <alignment horizontal="right" vertical="center"/>
    </xf>
    <xf numFmtId="3" fontId="15" fillId="39" borderId="15" xfId="0" applyNumberFormat="1" applyFont="1" applyFill="1" applyBorder="1" applyAlignment="1">
      <alignment horizontal="right" vertical="center"/>
    </xf>
    <xf numFmtId="175" fontId="1" fillId="39" borderId="10" xfId="0" applyNumberFormat="1" applyFont="1" applyFill="1" applyBorder="1" applyAlignment="1">
      <alignment horizontal="right" vertical="center"/>
    </xf>
    <xf numFmtId="164" fontId="1" fillId="42" borderId="11" xfId="0" applyNumberFormat="1" applyFont="1" applyFill="1" applyBorder="1" applyAlignment="1">
      <alignment horizontal="right" vertical="center"/>
    </xf>
    <xf numFmtId="164" fontId="1" fillId="39" borderId="12" xfId="0" applyNumberFormat="1" applyFont="1" applyFill="1" applyBorder="1" applyAlignment="1">
      <alignment horizontal="right" vertical="center"/>
    </xf>
    <xf numFmtId="0" fontId="15" fillId="39" borderId="17" xfId="0" applyFont="1" applyFill="1" applyBorder="1" applyAlignment="1">
      <alignment horizontal="center" vertical="center"/>
    </xf>
    <xf numFmtId="164" fontId="1" fillId="39" borderId="14" xfId="0" applyNumberFormat="1" applyFont="1" applyFill="1" applyBorder="1" applyAlignment="1">
      <alignment horizontal="right" vertical="center"/>
    </xf>
    <xf numFmtId="0" fontId="8" fillId="0" borderId="0" xfId="0" applyFont="1" applyAlignment="1" quotePrefix="1">
      <alignment horizontal="right"/>
    </xf>
    <xf numFmtId="0" fontId="0" fillId="0" borderId="0" xfId="0" applyFont="1" applyFill="1" applyAlignment="1">
      <alignment/>
    </xf>
    <xf numFmtId="175"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xf>
    <xf numFmtId="41" fontId="9" fillId="0" borderId="0" xfId="0" applyNumberFormat="1" applyFont="1" applyFill="1" applyBorder="1" applyAlignment="1">
      <alignment horizontal="right"/>
    </xf>
    <xf numFmtId="41" fontId="9" fillId="35" borderId="0" xfId="0" applyNumberFormat="1" applyFont="1" applyFill="1" applyBorder="1" applyAlignment="1">
      <alignment horizontal="right"/>
    </xf>
    <xf numFmtId="43" fontId="9" fillId="0" borderId="0" xfId="42" applyNumberFormat="1" applyFont="1" applyFill="1" applyAlignment="1">
      <alignment horizontal="right"/>
    </xf>
    <xf numFmtId="41" fontId="72" fillId="0" borderId="0" xfId="0" applyNumberFormat="1" applyFont="1" applyFill="1" applyBorder="1" applyAlignment="1" quotePrefix="1">
      <alignment horizontal="right" vertical="center"/>
    </xf>
    <xf numFmtId="41" fontId="72" fillId="35" borderId="0" xfId="0" applyNumberFormat="1" applyFont="1" applyFill="1" applyBorder="1" applyAlignment="1" quotePrefix="1">
      <alignment horizontal="right" vertical="center"/>
    </xf>
    <xf numFmtId="0" fontId="0" fillId="39" borderId="0" xfId="0" applyFill="1" applyAlignment="1">
      <alignment/>
    </xf>
    <xf numFmtId="2" fontId="75" fillId="0" borderId="0" xfId="0" applyNumberFormat="1" applyFont="1" applyAlignment="1">
      <alignment/>
    </xf>
    <xf numFmtId="210" fontId="15" fillId="37" borderId="13" xfId="0" applyNumberFormat="1" applyFont="1" applyFill="1" applyBorder="1" applyAlignment="1">
      <alignment horizontal="right" vertical="center"/>
    </xf>
    <xf numFmtId="167" fontId="15" fillId="37" borderId="13" xfId="0" applyNumberFormat="1" applyFont="1" applyFill="1" applyBorder="1" applyAlignment="1">
      <alignment horizontal="right" vertical="center"/>
    </xf>
    <xf numFmtId="210" fontId="15" fillId="37" borderId="20" xfId="0" applyNumberFormat="1" applyFont="1" applyFill="1" applyBorder="1" applyAlignment="1">
      <alignment horizontal="right" vertical="center"/>
    </xf>
    <xf numFmtId="210" fontId="15" fillId="37" borderId="18" xfId="0" applyNumberFormat="1" applyFont="1" applyFill="1" applyBorder="1" applyAlignment="1">
      <alignment horizontal="right" vertical="center"/>
    </xf>
    <xf numFmtId="202" fontId="15" fillId="37" borderId="18" xfId="0" applyNumberFormat="1" applyFont="1" applyFill="1" applyBorder="1" applyAlignment="1">
      <alignment horizontal="right" vertical="center" wrapText="1"/>
    </xf>
    <xf numFmtId="202" fontId="15" fillId="37" borderId="10" xfId="0" applyNumberFormat="1" applyFont="1" applyFill="1" applyBorder="1" applyAlignment="1">
      <alignment horizontal="right" vertical="center" wrapText="1"/>
    </xf>
    <xf numFmtId="167" fontId="17" fillId="0" borderId="20" xfId="0" applyNumberFormat="1" applyFont="1" applyFill="1" applyBorder="1" applyAlignment="1">
      <alignment horizontal="right" vertical="center" wrapText="1"/>
    </xf>
    <xf numFmtId="210" fontId="1" fillId="0" borderId="20" xfId="0" applyNumberFormat="1" applyFont="1" applyFill="1" applyBorder="1" applyAlignment="1">
      <alignment horizontal="right" vertical="center"/>
    </xf>
    <xf numFmtId="167" fontId="17" fillId="37" borderId="20" xfId="0" applyNumberFormat="1" applyFont="1" applyFill="1" applyBorder="1" applyAlignment="1">
      <alignment horizontal="right" vertical="center" wrapText="1"/>
    </xf>
    <xf numFmtId="164" fontId="17" fillId="37" borderId="20" xfId="0" applyNumberFormat="1" applyFont="1" applyFill="1" applyBorder="1" applyAlignment="1">
      <alignment horizontal="right" vertical="center" wrapText="1"/>
    </xf>
    <xf numFmtId="210" fontId="17" fillId="0" borderId="20" xfId="0" applyNumberFormat="1" applyFont="1" applyFill="1" applyBorder="1" applyAlignment="1">
      <alignment horizontal="right" vertical="center"/>
    </xf>
    <xf numFmtId="210" fontId="1" fillId="37" borderId="20" xfId="0" applyNumberFormat="1" applyFont="1" applyFill="1" applyBorder="1" applyAlignment="1">
      <alignment horizontal="right" vertical="center"/>
    </xf>
    <xf numFmtId="164" fontId="17" fillId="0" borderId="20" xfId="0" applyNumberFormat="1" applyFont="1" applyFill="1" applyBorder="1" applyAlignment="1">
      <alignment horizontal="right" vertical="center" wrapText="1"/>
    </xf>
    <xf numFmtId="167" fontId="17" fillId="37" borderId="18" xfId="0" applyNumberFormat="1" applyFont="1" applyFill="1" applyBorder="1" applyAlignment="1">
      <alignment horizontal="right" vertical="center" wrapText="1"/>
    </xf>
    <xf numFmtId="210" fontId="1" fillId="37" borderId="18" xfId="0" applyNumberFormat="1" applyFont="1" applyFill="1" applyBorder="1" applyAlignment="1">
      <alignment horizontal="right" vertical="center"/>
    </xf>
    <xf numFmtId="164" fontId="1" fillId="37" borderId="13" xfId="0" applyNumberFormat="1" applyFont="1" applyFill="1" applyBorder="1" applyAlignment="1">
      <alignment vertical="center"/>
    </xf>
    <xf numFmtId="165" fontId="1" fillId="37" borderId="17" xfId="0" applyNumberFormat="1" applyFont="1" applyFill="1" applyBorder="1" applyAlignment="1">
      <alignment horizontal="right" vertical="center"/>
    </xf>
    <xf numFmtId="167" fontId="1" fillId="37" borderId="13" xfId="0" applyNumberFormat="1" applyFont="1" applyFill="1" applyBorder="1" applyAlignment="1">
      <alignment horizontal="right" vertical="center" wrapText="1"/>
    </xf>
    <xf numFmtId="166" fontId="21" fillId="37" borderId="17" xfId="0" applyNumberFormat="1" applyFont="1" applyFill="1" applyBorder="1" applyAlignment="1">
      <alignment vertical="center"/>
    </xf>
    <xf numFmtId="164" fontId="1" fillId="37" borderId="13" xfId="0" applyNumberFormat="1" applyFont="1" applyFill="1" applyBorder="1" applyAlignment="1">
      <alignment horizontal="right" vertical="center" wrapText="1"/>
    </xf>
    <xf numFmtId="165" fontId="1" fillId="37" borderId="17" xfId="0" applyNumberFormat="1" applyFont="1" applyFill="1" applyBorder="1" applyAlignment="1">
      <alignment horizontal="right" vertical="center" wrapText="1"/>
    </xf>
    <xf numFmtId="176" fontId="1" fillId="37" borderId="14" xfId="0" applyNumberFormat="1" applyFont="1" applyFill="1" applyBorder="1" applyAlignment="1">
      <alignment horizontal="right" vertical="center" wrapText="1"/>
    </xf>
    <xf numFmtId="176" fontId="1" fillId="37" borderId="17" xfId="0" applyNumberFormat="1" applyFont="1" applyFill="1" applyBorder="1" applyAlignment="1">
      <alignment horizontal="right" vertical="center" wrapText="1"/>
    </xf>
    <xf numFmtId="164" fontId="1" fillId="0" borderId="20" xfId="0" applyNumberFormat="1" applyFont="1" applyFill="1" applyBorder="1" applyAlignment="1">
      <alignment vertical="center"/>
    </xf>
    <xf numFmtId="166" fontId="21" fillId="0" borderId="11" xfId="0" applyNumberFormat="1" applyFont="1" applyFill="1" applyBorder="1" applyAlignment="1">
      <alignment vertical="center"/>
    </xf>
    <xf numFmtId="210" fontId="17" fillId="37" borderId="18" xfId="0" applyNumberFormat="1" applyFont="1" applyFill="1" applyBorder="1" applyAlignment="1">
      <alignment horizontal="right" vertical="center"/>
    </xf>
    <xf numFmtId="176" fontId="17" fillId="37" borderId="19" xfId="0" applyNumberFormat="1" applyFont="1" applyFill="1" applyBorder="1" applyAlignment="1">
      <alignment horizontal="right" vertical="center" wrapText="1"/>
    </xf>
    <xf numFmtId="219" fontId="18" fillId="37" borderId="13" xfId="0" applyNumberFormat="1" applyFont="1" applyFill="1" applyBorder="1" applyAlignment="1">
      <alignment horizontal="right" vertical="center"/>
    </xf>
    <xf numFmtId="219" fontId="18" fillId="37" borderId="14" xfId="0" applyNumberFormat="1" applyFont="1" applyFill="1" applyBorder="1" applyAlignment="1">
      <alignment horizontal="right" vertical="center"/>
    </xf>
    <xf numFmtId="166" fontId="1" fillId="0" borderId="0" xfId="0" applyNumberFormat="1" applyFont="1" applyFill="1" applyBorder="1" applyAlignment="1">
      <alignment horizontal="right" vertical="center"/>
    </xf>
    <xf numFmtId="219" fontId="18" fillId="37" borderId="20" xfId="0" applyNumberFormat="1" applyFont="1" applyFill="1" applyBorder="1" applyAlignment="1">
      <alignment horizontal="right" vertical="center"/>
    </xf>
    <xf numFmtId="219" fontId="18" fillId="37" borderId="0" xfId="0" applyNumberFormat="1" applyFont="1" applyFill="1" applyBorder="1" applyAlignment="1">
      <alignment horizontal="right" vertical="center"/>
    </xf>
    <xf numFmtId="219" fontId="15" fillId="37" borderId="0" xfId="0" applyNumberFormat="1" applyFont="1" applyFill="1" applyBorder="1" applyAlignment="1">
      <alignment horizontal="right" vertical="center"/>
    </xf>
    <xf numFmtId="219" fontId="18" fillId="37" borderId="18" xfId="0" applyNumberFormat="1" applyFont="1" applyFill="1" applyBorder="1" applyAlignment="1">
      <alignment horizontal="right" vertical="center"/>
    </xf>
    <xf numFmtId="219" fontId="18" fillId="37" borderId="10" xfId="0" applyNumberFormat="1" applyFont="1" applyFill="1" applyBorder="1" applyAlignment="1">
      <alignment horizontal="right" vertical="center"/>
    </xf>
    <xf numFmtId="164" fontId="1" fillId="0" borderId="14" xfId="0" applyNumberFormat="1" applyFont="1" applyBorder="1" applyAlignment="1">
      <alignment horizontal="right" vertical="center"/>
    </xf>
    <xf numFmtId="166" fontId="0" fillId="0" borderId="0" xfId="0" applyNumberFormat="1" applyAlignment="1">
      <alignment/>
    </xf>
    <xf numFmtId="164" fontId="17" fillId="39" borderId="20" xfId="0" applyNumberFormat="1" applyFont="1" applyFill="1" applyBorder="1" applyAlignment="1">
      <alignment horizontal="right" vertical="center"/>
    </xf>
    <xf numFmtId="164" fontId="1" fillId="39" borderId="17" xfId="0" applyNumberFormat="1" applyFont="1" applyFill="1" applyBorder="1" applyAlignment="1">
      <alignment horizontal="right" vertical="center"/>
    </xf>
    <xf numFmtId="164" fontId="1" fillId="39" borderId="12" xfId="0" applyNumberFormat="1" applyFont="1" applyFill="1" applyBorder="1" applyAlignment="1">
      <alignment horizontal="center" vertical="center"/>
    </xf>
    <xf numFmtId="164" fontId="17" fillId="0" borderId="14" xfId="0" applyNumberFormat="1" applyFont="1" applyBorder="1" applyAlignment="1">
      <alignment horizontal="right" vertical="center"/>
    </xf>
    <xf numFmtId="164" fontId="17" fillId="0" borderId="17" xfId="0" applyNumberFormat="1" applyFont="1" applyBorder="1" applyAlignment="1">
      <alignment horizontal="right" vertical="center"/>
    </xf>
    <xf numFmtId="164" fontId="1" fillId="0" borderId="13" xfId="0" applyNumberFormat="1" applyFont="1" applyFill="1" applyBorder="1" applyAlignment="1">
      <alignment horizontal="right" vertical="center"/>
    </xf>
    <xf numFmtId="164" fontId="1" fillId="0" borderId="32" xfId="0" applyNumberFormat="1" applyFont="1" applyFill="1" applyBorder="1" applyAlignment="1">
      <alignment horizontal="right" vertical="center"/>
    </xf>
    <xf numFmtId="164" fontId="17" fillId="39" borderId="14" xfId="0" applyNumberFormat="1" applyFont="1" applyFill="1" applyBorder="1" applyAlignment="1">
      <alignment horizontal="right" vertical="center"/>
    </xf>
    <xf numFmtId="164" fontId="17" fillId="39" borderId="17" xfId="0" applyNumberFormat="1" applyFont="1" applyFill="1" applyBorder="1" applyAlignment="1">
      <alignment horizontal="right" vertical="center"/>
    </xf>
    <xf numFmtId="2" fontId="1" fillId="37" borderId="25" xfId="0" applyNumberFormat="1" applyFont="1" applyFill="1" applyBorder="1" applyAlignment="1">
      <alignment horizontal="right" vertical="center"/>
    </xf>
    <xf numFmtId="164" fontId="1" fillId="42" borderId="25" xfId="0" applyNumberFormat="1" applyFont="1" applyFill="1" applyBorder="1" applyAlignment="1">
      <alignment horizontal="right" vertical="center"/>
    </xf>
    <xf numFmtId="164" fontId="1" fillId="42" borderId="15" xfId="0" applyNumberFormat="1" applyFont="1" applyFill="1" applyBorder="1" applyAlignment="1">
      <alignment horizontal="right" vertical="center"/>
    </xf>
    <xf numFmtId="164" fontId="1" fillId="39" borderId="15" xfId="0" applyNumberFormat="1" applyFont="1" applyFill="1" applyBorder="1" applyAlignment="1">
      <alignment horizontal="right"/>
    </xf>
    <xf numFmtId="2" fontId="1" fillId="39" borderId="12" xfId="0" applyNumberFormat="1" applyFont="1" applyFill="1" applyBorder="1" applyAlignment="1">
      <alignment horizontal="right" vertical="center"/>
    </xf>
    <xf numFmtId="164" fontId="1" fillId="39" borderId="12" xfId="0" applyNumberFormat="1" applyFont="1" applyFill="1" applyBorder="1" applyAlignment="1">
      <alignment horizontal="right"/>
    </xf>
    <xf numFmtId="164" fontId="1" fillId="0" borderId="15" xfId="0" applyNumberFormat="1" applyFont="1" applyBorder="1" applyAlignment="1">
      <alignment horizontal="right"/>
    </xf>
    <xf numFmtId="164" fontId="17" fillId="0" borderId="15" xfId="0" applyNumberFormat="1" applyFont="1" applyBorder="1" applyAlignment="1">
      <alignment horizontal="right"/>
    </xf>
    <xf numFmtId="164" fontId="17" fillId="42" borderId="11" xfId="0" applyNumberFormat="1" applyFont="1" applyFill="1" applyBorder="1" applyAlignment="1">
      <alignment horizontal="right" vertical="center"/>
    </xf>
    <xf numFmtId="164" fontId="17" fillId="42" borderId="15" xfId="0" applyNumberFormat="1" applyFont="1" applyFill="1" applyBorder="1" applyAlignment="1">
      <alignment horizontal="right" vertical="center"/>
    </xf>
    <xf numFmtId="164" fontId="17" fillId="39" borderId="11" xfId="0" applyNumberFormat="1" applyFont="1" applyFill="1" applyBorder="1" applyAlignment="1">
      <alignment horizontal="right" vertical="center"/>
    </xf>
    <xf numFmtId="164" fontId="1" fillId="0" borderId="17" xfId="0" applyNumberFormat="1" applyFont="1" applyFill="1" applyBorder="1" applyAlignment="1">
      <alignment horizontal="right" vertical="center"/>
    </xf>
    <xf numFmtId="164" fontId="1" fillId="0" borderId="12" xfId="0" applyNumberFormat="1" applyFont="1" applyFill="1" applyBorder="1" applyAlignment="1">
      <alignment horizontal="center"/>
    </xf>
    <xf numFmtId="164" fontId="17" fillId="0" borderId="11" xfId="0" applyNumberFormat="1" applyFont="1" applyFill="1" applyBorder="1" applyAlignment="1">
      <alignment horizontal="right" vertical="center"/>
    </xf>
    <xf numFmtId="164" fontId="1" fillId="39" borderId="28" xfId="0" applyNumberFormat="1" applyFont="1" applyFill="1" applyBorder="1" applyAlignment="1">
      <alignment horizontal="right" vertical="center"/>
    </xf>
    <xf numFmtId="164" fontId="1" fillId="39" borderId="16" xfId="0" applyNumberFormat="1" applyFont="1" applyFill="1" applyBorder="1" applyAlignment="1">
      <alignment horizontal="right"/>
    </xf>
    <xf numFmtId="0" fontId="0" fillId="0" borderId="0" xfId="0" applyNumberFormat="1" applyFont="1" applyFill="1" applyBorder="1" applyAlignment="1">
      <alignment/>
    </xf>
    <xf numFmtId="0" fontId="0" fillId="46" borderId="33" xfId="0" applyNumberFormat="1" applyFont="1" applyFill="1" applyBorder="1" applyAlignment="1">
      <alignment horizontal="center"/>
    </xf>
    <xf numFmtId="1" fontId="0" fillId="0" borderId="33" xfId="0" applyNumberFormat="1" applyFont="1" applyFill="1" applyBorder="1" applyAlignment="1">
      <alignment/>
    </xf>
    <xf numFmtId="9" fontId="1" fillId="0" borderId="0" xfId="62" applyNumberFormat="1" applyFont="1" applyAlignment="1">
      <alignment horizontal="center"/>
      <protection/>
    </xf>
    <xf numFmtId="0" fontId="9" fillId="0" borderId="0" xfId="62" applyFont="1" applyBorder="1" applyAlignment="1">
      <alignment vertical="top"/>
      <protection/>
    </xf>
    <xf numFmtId="0" fontId="9" fillId="0" borderId="0" xfId="62" applyFont="1" applyFill="1" applyBorder="1" applyAlignment="1" quotePrefix="1">
      <alignment horizontal="right"/>
      <protection/>
    </xf>
    <xf numFmtId="0" fontId="8" fillId="0" borderId="0" xfId="62" applyFont="1" applyBorder="1" applyAlignment="1" quotePrefix="1">
      <alignment horizontal="right"/>
      <protection/>
    </xf>
    <xf numFmtId="0" fontId="1" fillId="0" borderId="0" xfId="62" applyFont="1">
      <alignment/>
      <protection/>
    </xf>
    <xf numFmtId="0" fontId="8" fillId="0" borderId="0" xfId="62" applyFont="1" applyBorder="1" applyAlignment="1" quotePrefix="1">
      <alignment horizontal="right" vertical="top"/>
      <protection/>
    </xf>
    <xf numFmtId="9" fontId="1" fillId="0" borderId="0" xfId="62" applyNumberFormat="1" applyFont="1" applyAlignment="1">
      <alignment horizontal="center" vertical="top"/>
      <protection/>
    </xf>
    <xf numFmtId="0" fontId="1" fillId="0" borderId="0" xfId="62" applyFont="1" applyAlignment="1">
      <alignment vertical="top"/>
      <protection/>
    </xf>
    <xf numFmtId="0" fontId="1" fillId="0" borderId="0" xfId="62" applyFont="1" applyBorder="1" applyAlignment="1">
      <alignment horizontal="right" vertical="center"/>
      <protection/>
    </xf>
    <xf numFmtId="0" fontId="14" fillId="0" borderId="0" xfId="62" applyFont="1">
      <alignment/>
      <protection/>
    </xf>
    <xf numFmtId="0" fontId="12" fillId="0" borderId="11" xfId="62" applyFill="1" applyBorder="1">
      <alignment/>
      <protection/>
    </xf>
    <xf numFmtId="1" fontId="15" fillId="35" borderId="12" xfId="62" applyNumberFormat="1" applyFont="1" applyFill="1" applyBorder="1" applyAlignment="1">
      <alignment horizontal="center"/>
      <protection/>
    </xf>
    <xf numFmtId="1" fontId="15" fillId="35" borderId="14" xfId="62" applyNumberFormat="1" applyFont="1" applyFill="1" applyBorder="1" applyAlignment="1">
      <alignment horizontal="center"/>
      <protection/>
    </xf>
    <xf numFmtId="0" fontId="16" fillId="35" borderId="12" xfId="62" applyFont="1" applyFill="1" applyBorder="1" applyAlignment="1">
      <alignment horizontal="center" wrapText="1"/>
      <protection/>
    </xf>
    <xf numFmtId="0" fontId="12" fillId="0" borderId="0" xfId="62" applyFill="1" applyBorder="1">
      <alignment/>
      <protection/>
    </xf>
    <xf numFmtId="0" fontId="12" fillId="0" borderId="19" xfId="62" applyFill="1" applyBorder="1">
      <alignment/>
      <protection/>
    </xf>
    <xf numFmtId="1" fontId="15" fillId="35" borderId="16" xfId="62" applyNumberFormat="1" applyFont="1" applyFill="1" applyBorder="1" applyAlignment="1">
      <alignment horizontal="center" vertical="center"/>
      <protection/>
    </xf>
    <xf numFmtId="1" fontId="15" fillId="35" borderId="10" xfId="62" applyNumberFormat="1" applyFont="1" applyFill="1" applyBorder="1" applyAlignment="1">
      <alignment horizontal="center" vertical="center"/>
      <protection/>
    </xf>
    <xf numFmtId="1" fontId="15" fillId="35" borderId="0" xfId="62" applyNumberFormat="1" applyFont="1" applyFill="1" applyBorder="1" applyAlignment="1">
      <alignment horizontal="center" vertical="center"/>
      <protection/>
    </xf>
    <xf numFmtId="0" fontId="15" fillId="35" borderId="16" xfId="62" applyFont="1" applyFill="1" applyBorder="1" applyAlignment="1">
      <alignment horizontal="center" vertical="top"/>
      <protection/>
    </xf>
    <xf numFmtId="0" fontId="15" fillId="37" borderId="12" xfId="62" applyFont="1" applyFill="1" applyBorder="1" applyAlignment="1">
      <alignment horizontal="center" vertical="center"/>
      <protection/>
    </xf>
    <xf numFmtId="2" fontId="18" fillId="37" borderId="12" xfId="62" applyNumberFormat="1" applyFont="1" applyFill="1" applyBorder="1" applyAlignment="1">
      <alignment vertical="center"/>
      <protection/>
    </xf>
    <xf numFmtId="219" fontId="18" fillId="37" borderId="13" xfId="62" applyNumberFormat="1" applyFont="1" applyFill="1" applyBorder="1" applyAlignment="1">
      <alignment vertical="center"/>
      <protection/>
    </xf>
    <xf numFmtId="219" fontId="18" fillId="37" borderId="14" xfId="62" applyNumberFormat="1" applyFont="1" applyFill="1" applyBorder="1" applyAlignment="1">
      <alignment vertical="center"/>
      <protection/>
    </xf>
    <xf numFmtId="219" fontId="18" fillId="37" borderId="14" xfId="62" applyNumberFormat="1" applyFont="1" applyFill="1" applyBorder="1" applyAlignment="1">
      <alignment horizontal="right"/>
      <protection/>
    </xf>
    <xf numFmtId="164" fontId="18" fillId="37" borderId="12" xfId="62" applyNumberFormat="1" applyFont="1" applyFill="1" applyBorder="1" applyAlignment="1">
      <alignment horizontal="right"/>
      <protection/>
    </xf>
    <xf numFmtId="0" fontId="1" fillId="0" borderId="0" xfId="62" applyFont="1" applyAlignment="1">
      <alignment horizontal="center"/>
      <protection/>
    </xf>
    <xf numFmtId="0" fontId="15" fillId="37" borderId="15" xfId="62" applyFont="1" applyFill="1" applyBorder="1" applyAlignment="1">
      <alignment horizontal="center" vertical="center"/>
      <protection/>
    </xf>
    <xf numFmtId="2" fontId="18" fillId="37" borderId="15" xfId="62" applyNumberFormat="1" applyFont="1" applyFill="1" applyBorder="1" applyAlignment="1">
      <alignment vertical="center"/>
      <protection/>
    </xf>
    <xf numFmtId="219" fontId="18" fillId="37" borderId="20" xfId="62" applyNumberFormat="1" applyFont="1" applyFill="1" applyBorder="1" applyAlignment="1">
      <alignment vertical="center"/>
      <protection/>
    </xf>
    <xf numFmtId="219" fontId="18" fillId="37" borderId="0" xfId="62" applyNumberFormat="1" applyFont="1" applyFill="1" applyBorder="1" applyAlignment="1">
      <alignment vertical="center"/>
      <protection/>
    </xf>
    <xf numFmtId="219" fontId="18" fillId="37" borderId="0" xfId="62" applyNumberFormat="1" applyFont="1" applyFill="1" applyBorder="1" applyAlignment="1">
      <alignment horizontal="right"/>
      <protection/>
    </xf>
    <xf numFmtId="164" fontId="18" fillId="37" borderId="15" xfId="62" applyNumberFormat="1" applyFont="1" applyFill="1" applyBorder="1" applyAlignment="1">
      <alignment horizontal="right"/>
      <protection/>
    </xf>
    <xf numFmtId="0" fontId="15" fillId="37" borderId="16" xfId="62" applyFont="1" applyFill="1" applyBorder="1" applyAlignment="1">
      <alignment horizontal="center" vertical="center"/>
      <protection/>
    </xf>
    <xf numFmtId="2" fontId="18" fillId="37" borderId="16" xfId="62" applyNumberFormat="1" applyFont="1" applyFill="1" applyBorder="1" applyAlignment="1">
      <alignment vertical="center"/>
      <protection/>
    </xf>
    <xf numFmtId="219" fontId="18" fillId="37" borderId="18" xfId="62" applyNumberFormat="1" applyFont="1" applyFill="1" applyBorder="1" applyAlignment="1">
      <alignment vertical="center"/>
      <protection/>
    </xf>
    <xf numFmtId="219" fontId="18" fillId="37" borderId="10" xfId="62" applyNumberFormat="1" applyFont="1" applyFill="1" applyBorder="1" applyAlignment="1">
      <alignment vertical="center"/>
      <protection/>
    </xf>
    <xf numFmtId="219" fontId="18" fillId="37" borderId="10" xfId="62" applyNumberFormat="1" applyFont="1" applyFill="1" applyBorder="1" applyAlignment="1">
      <alignment horizontal="right"/>
      <protection/>
    </xf>
    <xf numFmtId="164" fontId="18" fillId="37" borderId="16" xfId="62" applyNumberFormat="1" applyFont="1" applyFill="1" applyBorder="1" applyAlignment="1">
      <alignment horizontal="right"/>
      <protection/>
    </xf>
    <xf numFmtId="0" fontId="15" fillId="0" borderId="15" xfId="62" applyFont="1" applyFill="1" applyBorder="1" applyAlignment="1">
      <alignment horizontal="center" vertical="center"/>
      <protection/>
    </xf>
    <xf numFmtId="2" fontId="1" fillId="0" borderId="15" xfId="62" applyNumberFormat="1" applyFont="1" applyBorder="1" applyAlignment="1">
      <alignment horizontal="right" vertical="center"/>
      <protection/>
    </xf>
    <xf numFmtId="164" fontId="1" fillId="0" borderId="0" xfId="62" applyNumberFormat="1" applyFont="1">
      <alignment/>
      <protection/>
    </xf>
    <xf numFmtId="164" fontId="1" fillId="0" borderId="15" xfId="62" applyNumberFormat="1" applyFont="1" applyBorder="1" applyAlignment="1">
      <alignment horizontal="right" vertical="center"/>
      <protection/>
    </xf>
    <xf numFmtId="2" fontId="1" fillId="37" borderId="15" xfId="62" applyNumberFormat="1" applyFont="1" applyFill="1" applyBorder="1" applyAlignment="1">
      <alignment horizontal="right" vertical="center"/>
      <protection/>
    </xf>
    <xf numFmtId="164" fontId="1" fillId="37" borderId="0" xfId="62" applyNumberFormat="1" applyFont="1" applyFill="1" applyBorder="1" applyAlignment="1">
      <alignment horizontal="right" vertical="center"/>
      <protection/>
    </xf>
    <xf numFmtId="164" fontId="17" fillId="37" borderId="0" xfId="62" applyNumberFormat="1" applyFont="1" applyFill="1" applyBorder="1" applyAlignment="1">
      <alignment horizontal="right" vertical="center"/>
      <protection/>
    </xf>
    <xf numFmtId="164" fontId="17" fillId="37" borderId="15" xfId="62" applyNumberFormat="1" applyFont="1" applyFill="1" applyBorder="1" applyAlignment="1">
      <alignment horizontal="right" vertical="center"/>
      <protection/>
    </xf>
    <xf numFmtId="0" fontId="1" fillId="0" borderId="0" xfId="62" applyFont="1" applyFill="1" applyAlignment="1">
      <alignment horizontal="center"/>
      <protection/>
    </xf>
    <xf numFmtId="2" fontId="1" fillId="0" borderId="15" xfId="62" applyNumberFormat="1" applyFont="1" applyFill="1" applyBorder="1" applyAlignment="1" quotePrefix="1">
      <alignment horizontal="right" vertical="center"/>
      <protection/>
    </xf>
    <xf numFmtId="164" fontId="1" fillId="0" borderId="0" xfId="62" applyNumberFormat="1" applyFont="1" applyFill="1" applyBorder="1" applyAlignment="1" quotePrefix="1">
      <alignment horizontal="right" vertical="center"/>
      <protection/>
    </xf>
    <xf numFmtId="164" fontId="1" fillId="0" borderId="0" xfId="62" applyNumberFormat="1" applyFont="1" applyFill="1" applyBorder="1" applyAlignment="1">
      <alignment horizontal="right" vertical="center"/>
      <protection/>
    </xf>
    <xf numFmtId="164" fontId="17" fillId="0" borderId="0" xfId="62" applyNumberFormat="1" applyFont="1" applyFill="1" applyBorder="1" applyAlignment="1">
      <alignment horizontal="right" vertical="center"/>
      <protection/>
    </xf>
    <xf numFmtId="164" fontId="1" fillId="38" borderId="0" xfId="62" applyNumberFormat="1" applyFont="1" applyFill="1" applyBorder="1" applyAlignment="1">
      <alignment horizontal="right" vertical="center"/>
      <protection/>
    </xf>
    <xf numFmtId="164" fontId="1" fillId="38" borderId="26" xfId="62" applyNumberFormat="1" applyFont="1" applyFill="1" applyBorder="1" applyAlignment="1">
      <alignment horizontal="right" vertical="center"/>
      <protection/>
    </xf>
    <xf numFmtId="164" fontId="1" fillId="38" borderId="15" xfId="62" applyNumberFormat="1" applyFont="1" applyFill="1" applyBorder="1" applyAlignment="1">
      <alignment horizontal="right" vertical="center"/>
      <protection/>
    </xf>
    <xf numFmtId="0" fontId="1" fillId="0" borderId="0" xfId="62" applyFont="1" applyFill="1">
      <alignment/>
      <protection/>
    </xf>
    <xf numFmtId="164" fontId="1" fillId="37" borderId="0" xfId="62" applyNumberFormat="1" applyFont="1" applyFill="1" applyBorder="1">
      <alignment/>
      <protection/>
    </xf>
    <xf numFmtId="164" fontId="1" fillId="37" borderId="15" xfId="62" applyNumberFormat="1" applyFont="1" applyFill="1" applyBorder="1">
      <alignment/>
      <protection/>
    </xf>
    <xf numFmtId="2" fontId="1" fillId="0" borderId="15" xfId="62" applyNumberFormat="1" applyFont="1" applyFill="1" applyBorder="1" applyAlignment="1">
      <alignment horizontal="right" vertical="center"/>
      <protection/>
    </xf>
    <xf numFmtId="164" fontId="1" fillId="0" borderId="25" xfId="62" applyNumberFormat="1" applyFont="1" applyFill="1" applyBorder="1" applyAlignment="1">
      <alignment horizontal="right" vertical="center"/>
      <protection/>
    </xf>
    <xf numFmtId="164" fontId="1" fillId="0" borderId="15" xfId="62" applyNumberFormat="1" applyFont="1" applyFill="1" applyBorder="1" applyAlignment="1">
      <alignment horizontal="right" vertical="center"/>
      <protection/>
    </xf>
    <xf numFmtId="2" fontId="17" fillId="0" borderId="15" xfId="62" applyNumberFormat="1" applyFont="1" applyBorder="1">
      <alignment/>
      <protection/>
    </xf>
    <xf numFmtId="164" fontId="17" fillId="0" borderId="0" xfId="62" applyNumberFormat="1" applyFont="1" applyBorder="1">
      <alignment/>
      <protection/>
    </xf>
    <xf numFmtId="164" fontId="17" fillId="0" borderId="0" xfId="62" applyNumberFormat="1" applyFont="1" applyFill="1">
      <alignment/>
      <protection/>
    </xf>
    <xf numFmtId="164" fontId="17" fillId="0" borderId="15" xfId="62" applyNumberFormat="1" applyFont="1" applyFill="1" applyBorder="1" applyAlignment="1">
      <alignment horizontal="right" vertical="center"/>
      <protection/>
    </xf>
    <xf numFmtId="2" fontId="17" fillId="37" borderId="15" xfId="62" applyNumberFormat="1" applyFont="1" applyFill="1" applyBorder="1" applyAlignment="1">
      <alignment horizontal="right" vertical="center"/>
      <protection/>
    </xf>
    <xf numFmtId="164" fontId="1" fillId="0" borderId="20" xfId="62" applyNumberFormat="1" applyFont="1" applyBorder="1" applyAlignment="1">
      <alignment horizontal="right" vertical="center"/>
      <protection/>
    </xf>
    <xf numFmtId="164" fontId="1" fillId="0" borderId="0" xfId="62" applyNumberFormat="1" applyFont="1" applyBorder="1" applyAlignment="1">
      <alignment horizontal="right" vertical="center"/>
      <protection/>
    </xf>
    <xf numFmtId="164" fontId="17" fillId="0" borderId="0" xfId="62" applyNumberFormat="1" applyFont="1" applyBorder="1" applyAlignment="1">
      <alignment horizontal="right" vertical="center"/>
      <protection/>
    </xf>
    <xf numFmtId="164" fontId="1" fillId="37" borderId="15" xfId="62" applyNumberFormat="1" applyFont="1" applyFill="1" applyBorder="1" applyAlignment="1">
      <alignment horizontal="right" vertical="center"/>
      <protection/>
    </xf>
    <xf numFmtId="0" fontId="15" fillId="39" borderId="15" xfId="62" applyFont="1" applyFill="1" applyBorder="1" applyAlignment="1">
      <alignment horizontal="center" vertical="center"/>
      <protection/>
    </xf>
    <xf numFmtId="2" fontId="1" fillId="39" borderId="15" xfId="62" applyNumberFormat="1" applyFont="1" applyFill="1" applyBorder="1" applyAlignment="1">
      <alignment horizontal="right" vertical="center"/>
      <protection/>
    </xf>
    <xf numFmtId="164" fontId="1" fillId="39" borderId="20" xfId="62" applyNumberFormat="1" applyFont="1" applyFill="1" applyBorder="1" applyAlignment="1">
      <alignment horizontal="right" vertical="center"/>
      <protection/>
    </xf>
    <xf numFmtId="164" fontId="17" fillId="39" borderId="0" xfId="62" applyNumberFormat="1" applyFont="1" applyFill="1" applyBorder="1" applyAlignment="1">
      <alignment horizontal="right" vertical="center"/>
      <protection/>
    </xf>
    <xf numFmtId="164" fontId="1" fillId="39" borderId="0" xfId="62" applyNumberFormat="1" applyFont="1" applyFill="1" applyBorder="1" applyAlignment="1">
      <alignment horizontal="right" vertical="center"/>
      <protection/>
    </xf>
    <xf numFmtId="164" fontId="1" fillId="39" borderId="25" xfId="62" applyNumberFormat="1" applyFont="1" applyFill="1" applyBorder="1" applyAlignment="1">
      <alignment horizontal="right" vertical="center"/>
      <protection/>
    </xf>
    <xf numFmtId="164" fontId="1" fillId="39" borderId="26" xfId="62" applyNumberFormat="1" applyFont="1" applyFill="1" applyBorder="1" applyAlignment="1">
      <alignment horizontal="right" vertical="center"/>
      <protection/>
    </xf>
    <xf numFmtId="164" fontId="1" fillId="39" borderId="15" xfId="62" applyNumberFormat="1" applyFont="1" applyFill="1" applyBorder="1" applyAlignment="1">
      <alignment horizontal="right" vertical="center"/>
      <protection/>
    </xf>
    <xf numFmtId="164" fontId="17" fillId="0" borderId="0" xfId="62" applyNumberFormat="1" applyFont="1" applyFill="1" applyBorder="1">
      <alignment/>
      <protection/>
    </xf>
    <xf numFmtId="164" fontId="17" fillId="39" borderId="0" xfId="62" applyNumberFormat="1" applyFont="1" applyFill="1" applyBorder="1">
      <alignment/>
      <protection/>
    </xf>
    <xf numFmtId="2" fontId="17" fillId="39" borderId="15" xfId="62" applyNumberFormat="1" applyFont="1" applyFill="1" applyBorder="1" applyAlignment="1">
      <alignment horizontal="right" vertical="center"/>
      <protection/>
    </xf>
    <xf numFmtId="164" fontId="17" fillId="39" borderId="15" xfId="62" applyNumberFormat="1" applyFont="1" applyFill="1" applyBorder="1" applyAlignment="1">
      <alignment horizontal="right" vertical="center"/>
      <protection/>
    </xf>
    <xf numFmtId="2" fontId="1" fillId="0" borderId="25" xfId="62" applyNumberFormat="1" applyFont="1" applyFill="1" applyBorder="1" applyAlignment="1">
      <alignment horizontal="right" vertical="center"/>
      <protection/>
    </xf>
    <xf numFmtId="164" fontId="1" fillId="0" borderId="26" xfId="62" applyNumberFormat="1" applyFont="1" applyFill="1" applyBorder="1" applyAlignment="1">
      <alignment horizontal="right" vertical="center"/>
      <protection/>
    </xf>
    <xf numFmtId="2" fontId="17" fillId="0" borderId="15" xfId="62" applyNumberFormat="1" applyFont="1" applyFill="1" applyBorder="1" applyAlignment="1">
      <alignment horizontal="right" vertical="center"/>
      <protection/>
    </xf>
    <xf numFmtId="164" fontId="1" fillId="39" borderId="0" xfId="62" applyNumberFormat="1" applyFont="1" applyFill="1" applyBorder="1">
      <alignment/>
      <protection/>
    </xf>
    <xf numFmtId="164" fontId="1" fillId="39" borderId="34" xfId="62" applyNumberFormat="1" applyFont="1" applyFill="1" applyBorder="1" applyAlignment="1">
      <alignment horizontal="right" vertical="center"/>
      <protection/>
    </xf>
    <xf numFmtId="164" fontId="1" fillId="39" borderId="10" xfId="62" applyNumberFormat="1" applyFont="1" applyFill="1" applyBorder="1" applyAlignment="1">
      <alignment horizontal="right" vertical="center"/>
      <protection/>
    </xf>
    <xf numFmtId="164" fontId="1" fillId="39" borderId="31" xfId="62" applyNumberFormat="1" applyFont="1" applyFill="1" applyBorder="1" applyAlignment="1">
      <alignment horizontal="right" vertical="center"/>
      <protection/>
    </xf>
    <xf numFmtId="0" fontId="15" fillId="0" borderId="12" xfId="62" applyFont="1" applyFill="1" applyBorder="1" applyAlignment="1">
      <alignment horizontal="center" vertical="center"/>
      <protection/>
    </xf>
    <xf numFmtId="2" fontId="1" fillId="0" borderId="12" xfId="62" applyNumberFormat="1" applyFont="1" applyFill="1" applyBorder="1" applyAlignment="1">
      <alignment horizontal="right" vertical="center"/>
      <protection/>
    </xf>
    <xf numFmtId="164" fontId="1" fillId="0" borderId="14" xfId="62" applyNumberFormat="1" applyFont="1" applyFill="1" applyBorder="1" applyAlignment="1">
      <alignment horizontal="right" vertical="center"/>
      <protection/>
    </xf>
    <xf numFmtId="164" fontId="1" fillId="0" borderId="12" xfId="62" applyNumberFormat="1" applyFont="1" applyFill="1" applyBorder="1" applyAlignment="1">
      <alignment horizontal="right" vertical="center"/>
      <protection/>
    </xf>
    <xf numFmtId="0" fontId="15" fillId="0" borderId="16" xfId="62" applyFont="1" applyFill="1" applyBorder="1" applyAlignment="1">
      <alignment horizontal="center" vertical="center"/>
      <protection/>
    </xf>
    <xf numFmtId="2" fontId="1" fillId="0" borderId="16" xfId="62" applyNumberFormat="1" applyFont="1" applyFill="1" applyBorder="1" applyAlignment="1">
      <alignment horizontal="right" vertical="center"/>
      <protection/>
    </xf>
    <xf numFmtId="164" fontId="1" fillId="0" borderId="10" xfId="62" applyNumberFormat="1" applyFont="1" applyFill="1" applyBorder="1" applyAlignment="1">
      <alignment horizontal="right" vertical="center"/>
      <protection/>
    </xf>
    <xf numFmtId="164" fontId="17" fillId="0" borderId="10" xfId="62" applyNumberFormat="1" applyFont="1" applyFill="1" applyBorder="1" applyAlignment="1">
      <alignment horizontal="right" vertical="center"/>
      <protection/>
    </xf>
    <xf numFmtId="164" fontId="1" fillId="0" borderId="34" xfId="62" applyNumberFormat="1" applyFont="1" applyFill="1" applyBorder="1" applyAlignment="1">
      <alignment horizontal="right" vertical="center"/>
      <protection/>
    </xf>
    <xf numFmtId="164" fontId="1" fillId="0" borderId="16" xfId="62" applyNumberFormat="1" applyFont="1" applyFill="1" applyBorder="1" applyAlignment="1">
      <alignment horizontal="right" vertical="center"/>
      <protection/>
    </xf>
    <xf numFmtId="2" fontId="1" fillId="39" borderId="12" xfId="62" applyNumberFormat="1" applyFont="1" applyFill="1" applyBorder="1" applyAlignment="1">
      <alignment horizontal="right" vertical="center"/>
      <protection/>
    </xf>
    <xf numFmtId="164" fontId="1" fillId="39" borderId="14" xfId="62" applyNumberFormat="1" applyFont="1" applyFill="1" applyBorder="1" applyAlignment="1">
      <alignment horizontal="right" vertical="center"/>
      <protection/>
    </xf>
    <xf numFmtId="164" fontId="17" fillId="39" borderId="12" xfId="62" applyNumberFormat="1" applyFont="1" applyFill="1" applyBorder="1" applyAlignment="1">
      <alignment horizontal="right" vertical="center"/>
      <protection/>
    </xf>
    <xf numFmtId="0" fontId="15" fillId="39" borderId="16" xfId="62" applyFont="1" applyFill="1" applyBorder="1" applyAlignment="1">
      <alignment horizontal="center" vertical="center"/>
      <protection/>
    </xf>
    <xf numFmtId="2" fontId="1" fillId="39" borderId="16" xfId="62" applyNumberFormat="1" applyFont="1" applyFill="1" applyBorder="1" applyAlignment="1">
      <alignment horizontal="right" vertical="center"/>
      <protection/>
    </xf>
    <xf numFmtId="164" fontId="1" fillId="39" borderId="16" xfId="62" applyNumberFormat="1" applyFont="1" applyFill="1" applyBorder="1" applyAlignment="1">
      <alignment horizontal="right" vertical="center"/>
      <protection/>
    </xf>
    <xf numFmtId="0" fontId="15" fillId="0" borderId="0" xfId="62" applyFont="1" applyBorder="1">
      <alignment/>
      <protection/>
    </xf>
    <xf numFmtId="0" fontId="15" fillId="0" borderId="14" xfId="62" applyFont="1" applyBorder="1" applyAlignment="1">
      <alignment horizontal="left" wrapText="1"/>
      <protection/>
    </xf>
    <xf numFmtId="0" fontId="15" fillId="0" borderId="0" xfId="62" applyFont="1" applyBorder="1" applyAlignment="1">
      <alignment horizontal="left" wrapText="1"/>
      <protection/>
    </xf>
    <xf numFmtId="0" fontId="15" fillId="0" borderId="0" xfId="62" applyFont="1" applyAlignment="1">
      <alignment horizontal="left"/>
      <protection/>
    </xf>
    <xf numFmtId="0" fontId="1" fillId="0" borderId="0" xfId="62" applyFont="1" applyBorder="1" applyAlignment="1" quotePrefix="1">
      <alignment horizontal="left" vertical="center"/>
      <protection/>
    </xf>
    <xf numFmtId="0" fontId="1" fillId="0" borderId="0" xfId="62" applyFont="1" applyAlignment="1">
      <alignment vertical="center"/>
      <protection/>
    </xf>
    <xf numFmtId="0" fontId="1" fillId="0" borderId="0" xfId="62" applyFont="1" applyBorder="1" applyAlignment="1">
      <alignment horizontal="left" vertical="center"/>
      <protection/>
    </xf>
    <xf numFmtId="0" fontId="1" fillId="0" borderId="0" xfId="62" applyFont="1" applyBorder="1" applyAlignment="1">
      <alignment vertical="center"/>
      <protection/>
    </xf>
    <xf numFmtId="0" fontId="19" fillId="0" borderId="0" xfId="62" applyFont="1" applyBorder="1" applyAlignment="1">
      <alignment horizontal="left" vertical="center"/>
      <protection/>
    </xf>
    <xf numFmtId="164" fontId="19" fillId="0" borderId="0" xfId="62" applyNumberFormat="1" applyFont="1" applyBorder="1" applyAlignment="1">
      <alignment horizontal="left" vertical="center"/>
      <protection/>
    </xf>
    <xf numFmtId="0" fontId="15" fillId="0" borderId="0" xfId="62" applyFont="1" applyBorder="1" applyAlignment="1">
      <alignment vertical="top"/>
      <protection/>
    </xf>
    <xf numFmtId="1" fontId="15" fillId="0" borderId="0" xfId="62" applyNumberFormat="1" applyFont="1" applyFill="1" applyBorder="1" applyAlignment="1">
      <alignment horizontal="center" vertical="center"/>
      <protection/>
    </xf>
    <xf numFmtId="1" fontId="15" fillId="35" borderId="15" xfId="62" applyNumberFormat="1" applyFont="1" applyFill="1" applyBorder="1" applyAlignment="1">
      <alignment horizontal="center" vertical="center"/>
      <protection/>
    </xf>
    <xf numFmtId="0" fontId="15" fillId="35" borderId="15" xfId="62" applyFont="1" applyFill="1" applyBorder="1" applyAlignment="1">
      <alignment horizontal="center" vertical="top"/>
      <protection/>
    </xf>
    <xf numFmtId="164" fontId="1" fillId="37" borderId="12" xfId="62" applyNumberFormat="1" applyFont="1" applyFill="1" applyBorder="1" applyAlignment="1">
      <alignment horizontal="right"/>
      <protection/>
    </xf>
    <xf numFmtId="164" fontId="15" fillId="37" borderId="14" xfId="62" applyNumberFormat="1" applyFont="1" applyFill="1" applyBorder="1" applyAlignment="1">
      <alignment horizontal="right"/>
      <protection/>
    </xf>
    <xf numFmtId="164" fontId="18" fillId="37" borderId="14" xfId="62" applyNumberFormat="1" applyFont="1" applyFill="1" applyBorder="1" applyAlignment="1">
      <alignment horizontal="right"/>
      <protection/>
    </xf>
    <xf numFmtId="164" fontId="18" fillId="37" borderId="0" xfId="62" applyNumberFormat="1" applyFont="1" applyFill="1" applyBorder="1" applyAlignment="1">
      <alignment horizontal="right"/>
      <protection/>
    </xf>
    <xf numFmtId="164" fontId="17" fillId="37" borderId="16" xfId="62" applyNumberFormat="1" applyFont="1" applyFill="1" applyBorder="1" applyAlignment="1">
      <alignment horizontal="right"/>
      <protection/>
    </xf>
    <xf numFmtId="164" fontId="18" fillId="37" borderId="10" xfId="62" applyNumberFormat="1" applyFont="1" applyFill="1" applyBorder="1" applyAlignment="1">
      <alignment horizontal="right"/>
      <protection/>
    </xf>
    <xf numFmtId="164" fontId="15" fillId="37" borderId="10" xfId="62" applyNumberFormat="1" applyFont="1" applyFill="1" applyBorder="1" applyAlignment="1">
      <alignment horizontal="right"/>
      <protection/>
    </xf>
    <xf numFmtId="2" fontId="1" fillId="38" borderId="15" xfId="62" applyNumberFormat="1" applyFont="1" applyFill="1" applyBorder="1" applyAlignment="1" quotePrefix="1">
      <alignment horizontal="right" vertical="center"/>
      <protection/>
    </xf>
    <xf numFmtId="164" fontId="1" fillId="38" borderId="0" xfId="62" applyNumberFormat="1" applyFont="1" applyFill="1" applyBorder="1" applyAlignment="1" quotePrefix="1">
      <alignment horizontal="right" vertical="center"/>
      <protection/>
    </xf>
    <xf numFmtId="164" fontId="1" fillId="38" borderId="25" xfId="62" applyNumberFormat="1" applyFont="1" applyFill="1" applyBorder="1" applyAlignment="1">
      <alignment horizontal="right" vertical="center"/>
      <protection/>
    </xf>
    <xf numFmtId="2" fontId="1" fillId="38" borderId="15" xfId="62" applyNumberFormat="1" applyFont="1" applyFill="1" applyBorder="1" applyAlignment="1">
      <alignment horizontal="right" vertical="center"/>
      <protection/>
    </xf>
    <xf numFmtId="2" fontId="1" fillId="38" borderId="25" xfId="62" applyNumberFormat="1" applyFont="1" applyFill="1" applyBorder="1" applyAlignment="1">
      <alignment horizontal="right" vertical="center"/>
      <protection/>
    </xf>
    <xf numFmtId="164" fontId="17" fillId="0" borderId="26" xfId="62" applyNumberFormat="1" applyFont="1" applyBorder="1" applyAlignment="1">
      <alignment horizontal="right" vertical="center"/>
      <protection/>
    </xf>
    <xf numFmtId="0" fontId="1" fillId="39" borderId="0" xfId="62" applyFont="1" applyFill="1" applyAlignment="1">
      <alignment horizontal="center"/>
      <protection/>
    </xf>
    <xf numFmtId="164" fontId="17" fillId="39" borderId="26" xfId="62" applyNumberFormat="1" applyFont="1" applyFill="1" applyBorder="1" applyAlignment="1">
      <alignment horizontal="right" vertical="center"/>
      <protection/>
    </xf>
    <xf numFmtId="2" fontId="17" fillId="39" borderId="16" xfId="62" applyNumberFormat="1" applyFont="1" applyFill="1" applyBorder="1" applyAlignment="1">
      <alignment horizontal="right" vertical="center"/>
      <protection/>
    </xf>
    <xf numFmtId="164" fontId="17" fillId="39" borderId="10" xfId="62" applyNumberFormat="1" applyFont="1" applyFill="1" applyBorder="1" applyAlignment="1">
      <alignment horizontal="right" vertical="center"/>
      <protection/>
    </xf>
    <xf numFmtId="164" fontId="17" fillId="39" borderId="31" xfId="62" applyNumberFormat="1" applyFont="1" applyFill="1" applyBorder="1" applyAlignment="1">
      <alignment horizontal="right" vertical="center"/>
      <protection/>
    </xf>
    <xf numFmtId="164" fontId="17" fillId="39" borderId="16" xfId="62" applyNumberFormat="1" applyFont="1" applyFill="1" applyBorder="1" applyAlignment="1">
      <alignment horizontal="right" vertical="center"/>
      <protection/>
    </xf>
    <xf numFmtId="2" fontId="1" fillId="39" borderId="15" xfId="62" applyNumberFormat="1" applyFont="1" applyFill="1" applyBorder="1" applyAlignment="1" quotePrefix="1">
      <alignment horizontal="right" vertical="center"/>
      <protection/>
    </xf>
    <xf numFmtId="164" fontId="1" fillId="39" borderId="0" xfId="62" applyNumberFormat="1" applyFont="1" applyFill="1" applyBorder="1" applyAlignment="1" quotePrefix="1">
      <alignment horizontal="right" vertical="center"/>
      <protection/>
    </xf>
    <xf numFmtId="164" fontId="17" fillId="0" borderId="16" xfId="62" applyNumberFormat="1" applyFont="1" applyFill="1" applyBorder="1" applyAlignment="1">
      <alignment horizontal="right" vertical="center"/>
      <protection/>
    </xf>
    <xf numFmtId="49" fontId="15" fillId="0" borderId="14" xfId="62" applyNumberFormat="1" applyFont="1" applyBorder="1" applyAlignment="1">
      <alignment horizontal="left"/>
      <protection/>
    </xf>
    <xf numFmtId="49" fontId="15" fillId="0" borderId="14" xfId="62" applyNumberFormat="1" applyFont="1" applyBorder="1" applyAlignment="1">
      <alignment horizontal="left" wrapText="1"/>
      <protection/>
    </xf>
    <xf numFmtId="0" fontId="15" fillId="0" borderId="0" xfId="62" applyFont="1" applyBorder="1" applyAlignment="1">
      <alignment horizontal="left"/>
      <protection/>
    </xf>
    <xf numFmtId="0" fontId="15" fillId="0" borderId="0" xfId="62" applyFont="1" applyBorder="1" applyAlignment="1" quotePrefix="1">
      <alignment horizontal="left" vertical="center"/>
      <protection/>
    </xf>
    <xf numFmtId="0" fontId="17" fillId="0" borderId="0" xfId="62" applyFont="1" applyBorder="1" applyAlignment="1">
      <alignment horizontal="left" vertical="center"/>
      <protection/>
    </xf>
    <xf numFmtId="0" fontId="15" fillId="0" borderId="0" xfId="62" applyFont="1" applyBorder="1" applyAlignment="1">
      <alignment horizontal="center"/>
      <protection/>
    </xf>
    <xf numFmtId="0" fontId="1" fillId="0" borderId="0" xfId="62" applyFont="1" applyAlignment="1">
      <alignment/>
      <protection/>
    </xf>
    <xf numFmtId="49" fontId="1" fillId="0" borderId="0" xfId="62" applyNumberFormat="1" applyFont="1" applyAlignment="1">
      <alignment vertical="top"/>
      <protection/>
    </xf>
    <xf numFmtId="49" fontId="15" fillId="0" borderId="0" xfId="62" applyNumberFormat="1" applyFont="1" applyAlignment="1">
      <alignment vertical="top"/>
      <protection/>
    </xf>
    <xf numFmtId="0" fontId="12" fillId="0" borderId="0" xfId="62" applyAlignment="1">
      <alignment horizontal="left" vertical="top" wrapText="1"/>
      <protection/>
    </xf>
    <xf numFmtId="0" fontId="14" fillId="0" borderId="0" xfId="62" applyFont="1" applyAlignment="1">
      <alignment horizontal="left" vertical="top" wrapText="1"/>
      <protection/>
    </xf>
    <xf numFmtId="0" fontId="1" fillId="0" borderId="0" xfId="62" applyFont="1" applyAlignment="1">
      <alignment horizontal="center" vertical="top"/>
      <protection/>
    </xf>
    <xf numFmtId="164" fontId="15" fillId="37" borderId="12" xfId="62" applyNumberFormat="1" applyFont="1" applyFill="1" applyBorder="1" applyAlignment="1">
      <alignment horizontal="right"/>
      <protection/>
    </xf>
    <xf numFmtId="164" fontId="18" fillId="37" borderId="12" xfId="62" applyNumberFormat="1" applyFont="1" applyFill="1" applyBorder="1" applyAlignment="1">
      <alignment horizontal="right" vertical="center"/>
      <protection/>
    </xf>
    <xf numFmtId="0" fontId="15" fillId="37" borderId="17" xfId="62" applyFont="1" applyFill="1" applyBorder="1" applyAlignment="1">
      <alignment horizontal="center" vertical="center"/>
      <protection/>
    </xf>
    <xf numFmtId="164" fontId="18" fillId="37" borderId="15" xfId="62" applyNumberFormat="1" applyFont="1" applyFill="1" applyBorder="1" applyAlignment="1">
      <alignment horizontal="right" vertical="center"/>
      <protection/>
    </xf>
    <xf numFmtId="0" fontId="15" fillId="37" borderId="11" xfId="62" applyFont="1" applyFill="1" applyBorder="1" applyAlignment="1">
      <alignment horizontal="center" vertical="center"/>
      <protection/>
    </xf>
    <xf numFmtId="164" fontId="18" fillId="37" borderId="16" xfId="62" applyNumberFormat="1" applyFont="1" applyFill="1" applyBorder="1" applyAlignment="1">
      <alignment vertical="center"/>
      <protection/>
    </xf>
    <xf numFmtId="164" fontId="17" fillId="0" borderId="15" xfId="62" applyNumberFormat="1" applyFont="1" applyBorder="1" applyAlignment="1">
      <alignment horizontal="right" vertical="center"/>
      <protection/>
    </xf>
    <xf numFmtId="2" fontId="1" fillId="37" borderId="15" xfId="62" applyNumberFormat="1" applyFont="1" applyFill="1" applyBorder="1" applyAlignment="1">
      <alignment horizontal="center" vertical="center"/>
      <protection/>
    </xf>
    <xf numFmtId="164" fontId="1" fillId="37" borderId="0" xfId="62" applyNumberFormat="1" applyFont="1" applyFill="1" applyBorder="1" applyAlignment="1">
      <alignment horizontal="center" vertical="center"/>
      <protection/>
    </xf>
    <xf numFmtId="2" fontId="17" fillId="38" borderId="15" xfId="62" applyNumberFormat="1" applyFont="1" applyFill="1" applyBorder="1" applyAlignment="1">
      <alignment horizontal="right" vertical="center"/>
      <protection/>
    </xf>
    <xf numFmtId="164" fontId="17" fillId="38" borderId="0" xfId="62" applyNumberFormat="1" applyFont="1" applyFill="1" applyBorder="1" applyAlignment="1">
      <alignment horizontal="right" vertical="center"/>
      <protection/>
    </xf>
    <xf numFmtId="2" fontId="1" fillId="0" borderId="15" xfId="62" applyNumberFormat="1" applyFont="1" applyBorder="1" applyAlignment="1">
      <alignment horizontal="center" vertical="center"/>
      <protection/>
    </xf>
    <xf numFmtId="164" fontId="1" fillId="0" borderId="0" xfId="62" applyNumberFormat="1" applyFont="1" applyBorder="1" applyAlignment="1">
      <alignment horizontal="center" vertical="center"/>
      <protection/>
    </xf>
    <xf numFmtId="2" fontId="1" fillId="37" borderId="20" xfId="62" applyNumberFormat="1" applyFont="1" applyFill="1" applyBorder="1" applyAlignment="1">
      <alignment horizontal="right" vertical="center"/>
      <protection/>
    </xf>
    <xf numFmtId="2" fontId="1" fillId="0" borderId="20" xfId="62" applyNumberFormat="1" applyFont="1" applyFill="1" applyBorder="1" applyAlignment="1">
      <alignment horizontal="right" vertical="center"/>
      <protection/>
    </xf>
    <xf numFmtId="164" fontId="1" fillId="0" borderId="20" xfId="62" applyNumberFormat="1" applyFont="1" applyFill="1" applyBorder="1" applyAlignment="1">
      <alignment horizontal="right" vertical="center"/>
      <protection/>
    </xf>
    <xf numFmtId="2" fontId="1" fillId="0" borderId="15" xfId="62" applyNumberFormat="1" applyFont="1" applyFill="1" applyBorder="1" applyAlignment="1">
      <alignment horizontal="center" vertical="center"/>
      <protection/>
    </xf>
    <xf numFmtId="164" fontId="1" fillId="0" borderId="0" xfId="62" applyNumberFormat="1" applyFont="1" applyFill="1" applyBorder="1" applyAlignment="1">
      <alignment horizontal="center" vertical="center"/>
      <protection/>
    </xf>
    <xf numFmtId="164" fontId="1" fillId="0" borderId="15" xfId="62" applyNumberFormat="1" applyFont="1" applyFill="1" applyBorder="1" applyAlignment="1">
      <alignment horizontal="center" vertical="center"/>
      <protection/>
    </xf>
    <xf numFmtId="164" fontId="17" fillId="39" borderId="25" xfId="62" applyNumberFormat="1" applyFont="1" applyFill="1" applyBorder="1" applyAlignment="1">
      <alignment horizontal="right" vertical="center"/>
      <protection/>
    </xf>
    <xf numFmtId="2" fontId="1" fillId="39" borderId="15" xfId="62" applyNumberFormat="1" applyFont="1" applyFill="1" applyBorder="1" applyAlignment="1">
      <alignment horizontal="center" vertical="center"/>
      <protection/>
    </xf>
    <xf numFmtId="164" fontId="1" fillId="39" borderId="0" xfId="62" applyNumberFormat="1" applyFont="1" applyFill="1" applyBorder="1" applyAlignment="1">
      <alignment horizontal="center" vertical="center"/>
      <protection/>
    </xf>
    <xf numFmtId="164" fontId="1" fillId="39" borderId="15" xfId="62" applyNumberFormat="1" applyFont="1" applyFill="1" applyBorder="1" applyAlignment="1">
      <alignment horizontal="center" vertical="center"/>
      <protection/>
    </xf>
    <xf numFmtId="164" fontId="17" fillId="39" borderId="15" xfId="62" applyNumberFormat="1" applyFont="1" applyFill="1" applyBorder="1" applyAlignment="1">
      <alignment horizontal="center" vertical="center"/>
      <protection/>
    </xf>
    <xf numFmtId="164" fontId="1" fillId="39" borderId="11" xfId="62" applyNumberFormat="1" applyFont="1" applyFill="1" applyBorder="1" applyAlignment="1">
      <alignment horizontal="right" vertical="center"/>
      <protection/>
    </xf>
    <xf numFmtId="164" fontId="1" fillId="39" borderId="0" xfId="62" applyNumberFormat="1" applyFont="1" applyFill="1" applyBorder="1" applyAlignment="1">
      <alignment horizontal="right" vertical="center" wrapText="1"/>
      <protection/>
    </xf>
    <xf numFmtId="2" fontId="1" fillId="0" borderId="12" xfId="62" applyNumberFormat="1" applyFont="1" applyFill="1" applyBorder="1" applyAlignment="1">
      <alignment horizontal="center" vertical="center"/>
      <protection/>
    </xf>
    <xf numFmtId="164" fontId="1" fillId="0" borderId="14" xfId="62" applyNumberFormat="1" applyFont="1" applyFill="1" applyBorder="1" applyAlignment="1">
      <alignment horizontal="center" vertical="center"/>
      <protection/>
    </xf>
    <xf numFmtId="164" fontId="1" fillId="0" borderId="12" xfId="62" applyNumberFormat="1" applyFont="1" applyFill="1" applyBorder="1" applyAlignment="1">
      <alignment horizontal="center" vertical="center"/>
      <protection/>
    </xf>
    <xf numFmtId="164" fontId="17" fillId="39" borderId="0" xfId="62" applyNumberFormat="1" applyFont="1" applyFill="1" applyBorder="1" applyAlignment="1">
      <alignment horizontal="center" vertical="center"/>
      <protection/>
    </xf>
    <xf numFmtId="164" fontId="1" fillId="0" borderId="16" xfId="62" applyNumberFormat="1" applyFont="1" applyFill="1" applyBorder="1" applyAlignment="1">
      <alignment horizontal="center" vertical="center"/>
      <protection/>
    </xf>
    <xf numFmtId="2" fontId="1" fillId="39" borderId="12" xfId="62" applyNumberFormat="1" applyFont="1" applyFill="1" applyBorder="1" applyAlignment="1">
      <alignment horizontal="center" vertical="center"/>
      <protection/>
    </xf>
    <xf numFmtId="164" fontId="1" fillId="39" borderId="14" xfId="62" applyNumberFormat="1" applyFont="1" applyFill="1" applyBorder="1" applyAlignment="1">
      <alignment horizontal="center" vertical="center"/>
      <protection/>
    </xf>
    <xf numFmtId="164" fontId="1" fillId="39" borderId="12" xfId="62" applyNumberFormat="1" applyFont="1" applyFill="1" applyBorder="1" applyAlignment="1">
      <alignment horizontal="center" vertical="center"/>
      <protection/>
    </xf>
    <xf numFmtId="164" fontId="1" fillId="0" borderId="11" xfId="62" applyNumberFormat="1" applyFont="1" applyFill="1" applyBorder="1" applyAlignment="1">
      <alignment horizontal="right" vertical="center"/>
      <protection/>
    </xf>
    <xf numFmtId="0" fontId="1" fillId="0" borderId="0" xfId="62" applyFont="1" applyBorder="1" applyAlignment="1">
      <alignment/>
      <protection/>
    </xf>
    <xf numFmtId="0" fontId="1" fillId="0" borderId="0" xfId="62" applyFont="1" applyAlignment="1">
      <alignment horizontal="left"/>
      <protection/>
    </xf>
    <xf numFmtId="0" fontId="15" fillId="0" borderId="0" xfId="62" applyFont="1" applyBorder="1" applyAlignment="1">
      <alignment horizontal="left" vertical="top"/>
      <protection/>
    </xf>
    <xf numFmtId="0" fontId="15" fillId="0" borderId="0" xfId="62" applyFont="1" applyAlignment="1">
      <alignment vertical="top"/>
      <protection/>
    </xf>
    <xf numFmtId="0" fontId="1" fillId="0" borderId="0" xfId="62" applyFont="1" applyAlignment="1">
      <alignment horizontal="left" vertical="top" wrapText="1"/>
      <protection/>
    </xf>
    <xf numFmtId="0" fontId="15" fillId="0" borderId="0" xfId="62" applyFont="1" applyBorder="1" applyAlignment="1">
      <alignment horizontal="center" vertical="top"/>
      <protection/>
    </xf>
    <xf numFmtId="164" fontId="15" fillId="0" borderId="0" xfId="62" applyNumberFormat="1" applyFont="1" applyBorder="1" applyAlignment="1">
      <alignment horizontal="center" vertical="top"/>
      <protection/>
    </xf>
    <xf numFmtId="0" fontId="9" fillId="0" borderId="0" xfId="62" applyFont="1">
      <alignment/>
      <protection/>
    </xf>
    <xf numFmtId="1" fontId="15" fillId="47" borderId="14" xfId="62" applyNumberFormat="1" applyFont="1" applyFill="1" applyBorder="1" applyAlignment="1">
      <alignment horizontal="center" wrapText="1"/>
      <protection/>
    </xf>
    <xf numFmtId="1" fontId="15" fillId="47" borderId="10" xfId="62" applyNumberFormat="1" applyFont="1" applyFill="1" applyBorder="1" applyAlignment="1">
      <alignment horizontal="center" wrapText="1"/>
      <protection/>
    </xf>
    <xf numFmtId="2" fontId="15" fillId="37" borderId="12" xfId="62" applyNumberFormat="1" applyFont="1" applyFill="1" applyBorder="1" applyAlignment="1">
      <alignment horizontal="right" vertical="center"/>
      <protection/>
    </xf>
    <xf numFmtId="164" fontId="15" fillId="37" borderId="13" xfId="62" applyNumberFormat="1" applyFont="1" applyFill="1" applyBorder="1" applyAlignment="1">
      <alignment horizontal="right" vertical="center"/>
      <protection/>
    </xf>
    <xf numFmtId="164" fontId="18" fillId="37" borderId="14" xfId="62" applyNumberFormat="1" applyFont="1" applyFill="1" applyBorder="1" applyAlignment="1">
      <alignment horizontal="right" vertical="center"/>
      <protection/>
    </xf>
    <xf numFmtId="164" fontId="15" fillId="37" borderId="14" xfId="62" applyNumberFormat="1" applyFont="1" applyFill="1" applyBorder="1" applyAlignment="1">
      <alignment horizontal="right" vertical="center"/>
      <protection/>
    </xf>
    <xf numFmtId="164" fontId="18" fillId="47" borderId="14" xfId="62" applyNumberFormat="1" applyFont="1" applyFill="1" applyBorder="1" applyAlignment="1">
      <alignment horizontal="center" vertical="center"/>
      <protection/>
    </xf>
    <xf numFmtId="164" fontId="18" fillId="47" borderId="17" xfId="62" applyNumberFormat="1" applyFont="1" applyFill="1" applyBorder="1" applyAlignment="1">
      <alignment horizontal="center" vertical="center"/>
      <protection/>
    </xf>
    <xf numFmtId="164" fontId="15" fillId="37" borderId="12" xfId="62" applyNumberFormat="1" applyFont="1" applyFill="1" applyBorder="1" applyAlignment="1">
      <alignment horizontal="right" vertical="center"/>
      <protection/>
    </xf>
    <xf numFmtId="2" fontId="15" fillId="37" borderId="15" xfId="62" applyNumberFormat="1" applyFont="1" applyFill="1" applyBorder="1" applyAlignment="1">
      <alignment horizontal="right" vertical="center"/>
      <protection/>
    </xf>
    <xf numFmtId="164" fontId="15" fillId="37" borderId="20" xfId="62" applyNumberFormat="1" applyFont="1" applyFill="1" applyBorder="1" applyAlignment="1">
      <alignment horizontal="right" vertical="center"/>
      <protection/>
    </xf>
    <xf numFmtId="164" fontId="15" fillId="37" borderId="0" xfId="62" applyNumberFormat="1" applyFont="1" applyFill="1" applyBorder="1" applyAlignment="1">
      <alignment horizontal="right" vertical="center"/>
      <protection/>
    </xf>
    <xf numFmtId="164" fontId="15" fillId="47" borderId="0" xfId="62" applyNumberFormat="1" applyFont="1" applyFill="1" applyBorder="1" applyAlignment="1">
      <alignment horizontal="center" vertical="center"/>
      <protection/>
    </xf>
    <xf numFmtId="164" fontId="15" fillId="47" borderId="11" xfId="62" applyNumberFormat="1" applyFont="1" applyFill="1" applyBorder="1" applyAlignment="1">
      <alignment horizontal="center" vertical="center"/>
      <protection/>
    </xf>
    <xf numFmtId="164" fontId="15" fillId="37" borderId="15" xfId="62" applyNumberFormat="1" applyFont="1" applyFill="1" applyBorder="1" applyAlignment="1">
      <alignment horizontal="right" vertical="center"/>
      <protection/>
    </xf>
    <xf numFmtId="2" fontId="15" fillId="37" borderId="16" xfId="62" applyNumberFormat="1" applyFont="1" applyFill="1" applyBorder="1" applyAlignment="1">
      <alignment vertical="center"/>
      <protection/>
    </xf>
    <xf numFmtId="164" fontId="15" fillId="37" borderId="18" xfId="62" applyNumberFormat="1" applyFont="1" applyFill="1" applyBorder="1" applyAlignment="1">
      <alignment vertical="center"/>
      <protection/>
    </xf>
    <xf numFmtId="164" fontId="18" fillId="37" borderId="10" xfId="62" applyNumberFormat="1" applyFont="1" applyFill="1" applyBorder="1" applyAlignment="1">
      <alignment vertical="center"/>
      <protection/>
    </xf>
    <xf numFmtId="164" fontId="15" fillId="37" borderId="10" xfId="62" applyNumberFormat="1" applyFont="1" applyFill="1" applyBorder="1" applyAlignment="1">
      <alignment vertical="center"/>
      <protection/>
    </xf>
    <xf numFmtId="164" fontId="15" fillId="47" borderId="10" xfId="62" applyNumberFormat="1" applyFont="1" applyFill="1" applyBorder="1" applyAlignment="1">
      <alignment horizontal="center" vertical="center"/>
      <protection/>
    </xf>
    <xf numFmtId="164" fontId="15" fillId="47" borderId="19" xfId="62" applyNumberFormat="1" applyFont="1" applyFill="1" applyBorder="1" applyAlignment="1">
      <alignment horizontal="center" vertical="center"/>
      <protection/>
    </xf>
    <xf numFmtId="164" fontId="15" fillId="37" borderId="16" xfId="62" applyNumberFormat="1" applyFont="1" applyFill="1" applyBorder="1" applyAlignment="1">
      <alignment vertical="center"/>
      <protection/>
    </xf>
    <xf numFmtId="2" fontId="1" fillId="0" borderId="35" xfId="62" applyNumberFormat="1" applyFont="1" applyBorder="1" applyAlignment="1">
      <alignment horizontal="right" vertical="center"/>
      <protection/>
    </xf>
    <xf numFmtId="164" fontId="1" fillId="47" borderId="14" xfId="62" applyNumberFormat="1" applyFont="1" applyFill="1" applyBorder="1" applyAlignment="1">
      <alignment horizontal="center" vertical="center"/>
      <protection/>
    </xf>
    <xf numFmtId="164" fontId="1" fillId="47" borderId="11" xfId="62" applyNumberFormat="1" applyFont="1" applyFill="1" applyBorder="1" applyAlignment="1">
      <alignment horizontal="center" vertical="center"/>
      <protection/>
    </xf>
    <xf numFmtId="164" fontId="1" fillId="47" borderId="0" xfId="62" applyNumberFormat="1" applyFont="1" applyFill="1" applyBorder="1" applyAlignment="1">
      <alignment horizontal="center" vertical="center"/>
      <protection/>
    </xf>
    <xf numFmtId="164" fontId="1" fillId="47" borderId="36" xfId="62" applyNumberFormat="1" applyFont="1" applyFill="1" applyBorder="1" applyAlignment="1">
      <alignment horizontal="center" vertical="center"/>
      <protection/>
    </xf>
    <xf numFmtId="164" fontId="17" fillId="47" borderId="0" xfId="62" applyNumberFormat="1" applyFont="1" applyFill="1" applyBorder="1" applyAlignment="1">
      <alignment horizontal="center" vertical="center"/>
      <protection/>
    </xf>
    <xf numFmtId="164" fontId="17" fillId="47" borderId="11" xfId="62" applyNumberFormat="1" applyFont="1" applyFill="1" applyBorder="1" applyAlignment="1">
      <alignment horizontal="center" vertical="center"/>
      <protection/>
    </xf>
    <xf numFmtId="2" fontId="1" fillId="39" borderId="37" xfId="62" applyNumberFormat="1" applyFont="1" applyFill="1" applyBorder="1" applyAlignment="1">
      <alignment horizontal="right" vertical="center"/>
      <protection/>
    </xf>
    <xf numFmtId="164" fontId="1" fillId="39" borderId="18" xfId="62" applyNumberFormat="1" applyFont="1" applyFill="1" applyBorder="1" applyAlignment="1">
      <alignment horizontal="right" vertical="center"/>
      <protection/>
    </xf>
    <xf numFmtId="164" fontId="1" fillId="47" borderId="10" xfId="62" applyNumberFormat="1" applyFont="1" applyFill="1" applyBorder="1" applyAlignment="1">
      <alignment horizontal="center" vertical="center"/>
      <protection/>
    </xf>
    <xf numFmtId="164" fontId="1" fillId="47" borderId="19" xfId="62" applyNumberFormat="1" applyFont="1" applyFill="1" applyBorder="1" applyAlignment="1">
      <alignment horizontal="center" vertical="center"/>
      <protection/>
    </xf>
    <xf numFmtId="164" fontId="1" fillId="47" borderId="0" xfId="62" applyNumberFormat="1" applyFont="1" applyFill="1" applyBorder="1" applyAlignment="1">
      <alignment horizontal="right" vertical="center"/>
      <protection/>
    </xf>
    <xf numFmtId="164" fontId="1" fillId="47" borderId="11" xfId="62" applyNumberFormat="1" applyFont="1" applyFill="1" applyBorder="1" applyAlignment="1">
      <alignment horizontal="right" vertical="center"/>
      <protection/>
    </xf>
    <xf numFmtId="164" fontId="1" fillId="47" borderId="17" xfId="62" applyNumberFormat="1" applyFont="1" applyFill="1" applyBorder="1" applyAlignment="1">
      <alignment horizontal="center" vertical="center"/>
      <protection/>
    </xf>
    <xf numFmtId="164" fontId="1" fillId="47" borderId="10" xfId="62" applyNumberFormat="1" applyFont="1" applyFill="1" applyBorder="1" applyAlignment="1">
      <alignment horizontal="right" vertical="center"/>
      <protection/>
    </xf>
    <xf numFmtId="164" fontId="1" fillId="47" borderId="19" xfId="62" applyNumberFormat="1" applyFont="1" applyFill="1" applyBorder="1" applyAlignment="1">
      <alignment horizontal="right" vertical="center"/>
      <protection/>
    </xf>
    <xf numFmtId="49" fontId="15" fillId="0" borderId="0" xfId="62" applyNumberFormat="1" applyFont="1" applyBorder="1" applyAlignment="1">
      <alignment horizontal="left" wrapText="1"/>
      <protection/>
    </xf>
    <xf numFmtId="49" fontId="15" fillId="0" borderId="0" xfId="62" applyNumberFormat="1" applyFont="1" applyBorder="1" applyAlignment="1">
      <alignment horizontal="left"/>
      <protection/>
    </xf>
    <xf numFmtId="195" fontId="18" fillId="37" borderId="14" xfId="0" applyNumberFormat="1" applyFont="1" applyFill="1" applyBorder="1" applyAlignment="1">
      <alignment horizontal="right" vertical="center"/>
    </xf>
    <xf numFmtId="195" fontId="18" fillId="37" borderId="0" xfId="0" applyNumberFormat="1" applyFont="1" applyFill="1" applyBorder="1" applyAlignment="1">
      <alignment horizontal="right" vertical="center"/>
    </xf>
    <xf numFmtId="195" fontId="1" fillId="0" borderId="14" xfId="0" applyNumberFormat="1" applyFont="1" applyFill="1" applyBorder="1" applyAlignment="1">
      <alignment horizontal="right" vertical="center"/>
    </xf>
    <xf numFmtId="195" fontId="17" fillId="0" borderId="0" xfId="0" applyNumberFormat="1" applyFont="1" applyFill="1" applyBorder="1" applyAlignment="1">
      <alignment horizontal="right" vertical="center"/>
    </xf>
    <xf numFmtId="195" fontId="17" fillId="0" borderId="11" xfId="0" applyNumberFormat="1" applyFont="1" applyFill="1" applyBorder="1" applyAlignment="1">
      <alignment horizontal="right" vertical="center"/>
    </xf>
    <xf numFmtId="195" fontId="17" fillId="37" borderId="0" xfId="0" applyNumberFormat="1" applyFont="1" applyFill="1" applyBorder="1" applyAlignment="1">
      <alignment horizontal="right" vertical="center"/>
    </xf>
    <xf numFmtId="195" fontId="1" fillId="37" borderId="11" xfId="0" applyNumberFormat="1" applyFont="1" applyFill="1" applyBorder="1" applyAlignment="1">
      <alignment horizontal="right" vertical="center"/>
    </xf>
    <xf numFmtId="195" fontId="1" fillId="0" borderId="11" xfId="0" applyNumberFormat="1" applyFont="1" applyFill="1" applyBorder="1" applyAlignment="1">
      <alignment horizontal="right" vertical="center"/>
    </xf>
    <xf numFmtId="195" fontId="1" fillId="39" borderId="11" xfId="0" applyNumberFormat="1" applyFont="1" applyFill="1" applyBorder="1" applyAlignment="1">
      <alignment horizontal="right" vertical="center"/>
    </xf>
    <xf numFmtId="175" fontId="1" fillId="0" borderId="25" xfId="0" applyNumberFormat="1" applyFont="1" applyFill="1" applyBorder="1" applyAlignment="1">
      <alignment horizontal="right" vertical="center"/>
    </xf>
    <xf numFmtId="175" fontId="17" fillId="37" borderId="0" xfId="0" applyNumberFormat="1" applyFont="1" applyFill="1" applyBorder="1" applyAlignment="1">
      <alignment horizontal="right" vertical="center"/>
    </xf>
    <xf numFmtId="195" fontId="1" fillId="39" borderId="19" xfId="0" applyNumberFormat="1" applyFont="1" applyFill="1" applyBorder="1" applyAlignment="1">
      <alignment horizontal="right" vertical="center"/>
    </xf>
    <xf numFmtId="195" fontId="1" fillId="0" borderId="19" xfId="0" applyNumberFormat="1" applyFont="1" applyFill="1" applyBorder="1" applyAlignment="1">
      <alignment horizontal="right" vertical="center"/>
    </xf>
    <xf numFmtId="195" fontId="1" fillId="39" borderId="20" xfId="0" applyNumberFormat="1" applyFont="1" applyFill="1" applyBorder="1" applyAlignment="1" quotePrefix="1">
      <alignment horizontal="right" vertical="center"/>
    </xf>
    <xf numFmtId="195" fontId="1" fillId="39" borderId="0" xfId="0" applyNumberFormat="1" applyFont="1" applyFill="1" applyBorder="1" applyAlignment="1" quotePrefix="1">
      <alignment horizontal="right" vertical="center"/>
    </xf>
    <xf numFmtId="195" fontId="17" fillId="39" borderId="0" xfId="0" applyNumberFormat="1" applyFont="1" applyFill="1" applyBorder="1" applyAlignment="1">
      <alignment horizontal="right" vertical="center"/>
    </xf>
    <xf numFmtId="195" fontId="17" fillId="39" borderId="11" xfId="0" applyNumberFormat="1" applyFont="1" applyFill="1" applyBorder="1" applyAlignment="1">
      <alignment horizontal="right" vertical="center"/>
    </xf>
    <xf numFmtId="195" fontId="17" fillId="0" borderId="13" xfId="0" applyNumberFormat="1" applyFont="1" applyFill="1" applyBorder="1" applyAlignment="1">
      <alignment horizontal="right" vertical="center"/>
    </xf>
    <xf numFmtId="195" fontId="1" fillId="0" borderId="17" xfId="0" applyNumberFormat="1" applyFont="1" applyFill="1" applyBorder="1" applyAlignment="1">
      <alignment horizontal="right" vertical="center"/>
    </xf>
    <xf numFmtId="195" fontId="1" fillId="37" borderId="0" xfId="0" applyNumberFormat="1" applyFont="1" applyFill="1" applyBorder="1" applyAlignment="1">
      <alignment vertical="center"/>
    </xf>
    <xf numFmtId="195" fontId="1" fillId="37" borderId="11" xfId="0" applyNumberFormat="1" applyFont="1" applyFill="1" applyBorder="1" applyAlignment="1">
      <alignment vertical="center"/>
    </xf>
    <xf numFmtId="195" fontId="1" fillId="0" borderId="0" xfId="0" applyNumberFormat="1" applyFont="1" applyFill="1" applyBorder="1" applyAlignment="1">
      <alignment vertical="center"/>
    </xf>
    <xf numFmtId="195" fontId="1" fillId="0" borderId="11" xfId="0" applyNumberFormat="1" applyFont="1" applyFill="1" applyBorder="1" applyAlignment="1">
      <alignment vertical="center"/>
    </xf>
    <xf numFmtId="195" fontId="15" fillId="37" borderId="13" xfId="0" applyNumberFormat="1" applyFont="1" applyFill="1" applyBorder="1" applyAlignment="1">
      <alignment vertical="center"/>
    </xf>
    <xf numFmtId="195" fontId="15" fillId="37" borderId="14" xfId="0" applyNumberFormat="1" applyFont="1" applyFill="1" applyBorder="1" applyAlignment="1">
      <alignment vertical="center"/>
    </xf>
    <xf numFmtId="195" fontId="18" fillId="37" borderId="14" xfId="0" applyNumberFormat="1" applyFont="1" applyFill="1" applyBorder="1" applyAlignment="1">
      <alignment vertical="center"/>
    </xf>
    <xf numFmtId="195" fontId="15" fillId="37" borderId="20" xfId="0" applyNumberFormat="1" applyFont="1" applyFill="1" applyBorder="1" applyAlignment="1">
      <alignment vertical="center"/>
    </xf>
    <xf numFmtId="195" fontId="15" fillId="37" borderId="0" xfId="0" applyNumberFormat="1" applyFont="1" applyFill="1" applyBorder="1" applyAlignment="1">
      <alignment vertical="center"/>
    </xf>
    <xf numFmtId="195" fontId="18" fillId="37" borderId="0" xfId="0" applyNumberFormat="1" applyFont="1" applyFill="1" applyBorder="1" applyAlignment="1">
      <alignment vertical="center"/>
    </xf>
    <xf numFmtId="195" fontId="15" fillId="37" borderId="18" xfId="0" applyNumberFormat="1" applyFont="1" applyFill="1" applyBorder="1" applyAlignment="1">
      <alignment vertical="center"/>
    </xf>
    <xf numFmtId="195" fontId="15" fillId="37" borderId="10" xfId="0" applyNumberFormat="1" applyFont="1" applyFill="1" applyBorder="1" applyAlignment="1">
      <alignment vertical="center"/>
    </xf>
    <xf numFmtId="195" fontId="1" fillId="0" borderId="13" xfId="0" applyNumberFormat="1" applyFont="1" applyFill="1" applyBorder="1" applyAlignment="1">
      <alignment vertical="center"/>
    </xf>
    <xf numFmtId="195" fontId="1" fillId="0" borderId="14" xfId="0" applyNumberFormat="1" applyFont="1" applyFill="1" applyBorder="1" applyAlignment="1">
      <alignment vertical="center"/>
    </xf>
    <xf numFmtId="195" fontId="1" fillId="0" borderId="20" xfId="0" applyNumberFormat="1" applyFont="1" applyBorder="1" applyAlignment="1">
      <alignment vertical="center"/>
    </xf>
    <xf numFmtId="195" fontId="1" fillId="0" borderId="0" xfId="0" applyNumberFormat="1" applyFont="1" applyBorder="1" applyAlignment="1">
      <alignment vertical="center"/>
    </xf>
    <xf numFmtId="195" fontId="17" fillId="0" borderId="0" xfId="0" applyNumberFormat="1" applyFont="1" applyBorder="1" applyAlignment="1">
      <alignment vertical="center"/>
    </xf>
    <xf numFmtId="195" fontId="1" fillId="37" borderId="20" xfId="0" applyNumberFormat="1" applyFont="1" applyFill="1" applyBorder="1" applyAlignment="1">
      <alignment vertical="center"/>
    </xf>
    <xf numFmtId="195" fontId="1" fillId="0" borderId="20" xfId="0" applyNumberFormat="1" applyFont="1" applyFill="1" applyBorder="1" applyAlignment="1">
      <alignment vertical="center"/>
    </xf>
    <xf numFmtId="195" fontId="1" fillId="37" borderId="26" xfId="0" applyNumberFormat="1" applyFont="1" applyFill="1" applyBorder="1" applyAlignment="1">
      <alignment horizontal="right" vertical="center"/>
    </xf>
    <xf numFmtId="195" fontId="1" fillId="0" borderId="25" xfId="0" applyNumberFormat="1" applyFont="1" applyFill="1" applyBorder="1" applyAlignment="1">
      <alignment vertical="center"/>
    </xf>
    <xf numFmtId="195" fontId="17" fillId="37" borderId="0" xfId="0" applyNumberFormat="1" applyFont="1" applyFill="1" applyBorder="1" applyAlignment="1">
      <alignment vertical="center"/>
    </xf>
    <xf numFmtId="164" fontId="17" fillId="37" borderId="0" xfId="0" applyNumberFormat="1" applyFont="1" applyFill="1" applyBorder="1" applyAlignment="1">
      <alignment vertical="center"/>
    </xf>
    <xf numFmtId="195" fontId="1" fillId="0" borderId="20" xfId="0" applyNumberFormat="1" applyFont="1" applyBorder="1" applyAlignment="1">
      <alignment horizontal="right" vertical="center"/>
    </xf>
    <xf numFmtId="195" fontId="1" fillId="0" borderId="0" xfId="0" applyNumberFormat="1" applyFont="1" applyBorder="1" applyAlignment="1">
      <alignment horizontal="right" vertical="center"/>
    </xf>
    <xf numFmtId="195" fontId="1" fillId="0" borderId="20" xfId="0" applyNumberFormat="1" applyFont="1" applyBorder="1" applyAlignment="1" quotePrefix="1">
      <alignment horizontal="right" vertical="center"/>
    </xf>
    <xf numFmtId="195" fontId="1" fillId="0" borderId="0" xfId="0" applyNumberFormat="1" applyFont="1" applyBorder="1" applyAlignment="1" quotePrefix="1">
      <alignment horizontal="right" vertical="center"/>
    </xf>
    <xf numFmtId="195" fontId="1" fillId="0" borderId="0" xfId="0" applyNumberFormat="1" applyFont="1" applyFill="1" applyBorder="1" applyAlignment="1">
      <alignment horizontal="right"/>
    </xf>
    <xf numFmtId="195" fontId="1" fillId="39" borderId="20" xfId="0" applyNumberFormat="1" applyFont="1" applyFill="1" applyBorder="1" applyAlignment="1">
      <alignment vertical="center"/>
    </xf>
    <xf numFmtId="195" fontId="1" fillId="39" borderId="0" xfId="0" applyNumberFormat="1" applyFont="1" applyFill="1" applyBorder="1" applyAlignment="1">
      <alignment vertical="center"/>
    </xf>
    <xf numFmtId="195" fontId="17" fillId="0" borderId="14" xfId="0" applyNumberFormat="1" applyFont="1" applyFill="1" applyBorder="1" applyAlignment="1">
      <alignment horizontal="right" vertical="center"/>
    </xf>
    <xf numFmtId="195" fontId="17" fillId="0" borderId="14" xfId="0" applyNumberFormat="1" applyFont="1" applyFill="1" applyBorder="1" applyAlignment="1">
      <alignment vertical="center"/>
    </xf>
    <xf numFmtId="164" fontId="17" fillId="0" borderId="14" xfId="0" applyNumberFormat="1" applyFont="1" applyFill="1" applyBorder="1" applyAlignment="1">
      <alignment vertical="center"/>
    </xf>
    <xf numFmtId="195" fontId="1" fillId="0" borderId="18" xfId="0" applyNumberFormat="1" applyFont="1" applyFill="1" applyBorder="1" applyAlignment="1">
      <alignment vertical="center"/>
    </xf>
    <xf numFmtId="195" fontId="1" fillId="0" borderId="10" xfId="0" applyNumberFormat="1" applyFont="1" applyFill="1" applyBorder="1" applyAlignment="1">
      <alignment vertical="center"/>
    </xf>
    <xf numFmtId="195" fontId="1" fillId="39" borderId="14" xfId="0" applyNumberFormat="1" applyFont="1" applyFill="1" applyBorder="1" applyAlignment="1" quotePrefix="1">
      <alignment horizontal="right" vertical="center"/>
    </xf>
    <xf numFmtId="195" fontId="1" fillId="39" borderId="13" xfId="0" applyNumberFormat="1" applyFont="1" applyFill="1" applyBorder="1" applyAlignment="1" quotePrefix="1">
      <alignment horizontal="right" vertical="center"/>
    </xf>
    <xf numFmtId="3" fontId="1" fillId="39" borderId="14" xfId="0" applyNumberFormat="1" applyFont="1" applyFill="1" applyBorder="1" applyAlignment="1" quotePrefix="1">
      <alignment horizontal="right" vertical="center"/>
    </xf>
    <xf numFmtId="195" fontId="1" fillId="39" borderId="18" xfId="0" applyNumberFormat="1" applyFont="1" applyFill="1" applyBorder="1" applyAlignment="1">
      <alignment vertical="center"/>
    </xf>
    <xf numFmtId="195" fontId="1" fillId="39" borderId="10" xfId="0" applyNumberFormat="1" applyFont="1" applyFill="1" applyBorder="1" applyAlignment="1">
      <alignment vertical="center"/>
    </xf>
    <xf numFmtId="195" fontId="15" fillId="39" borderId="12" xfId="0" applyNumberFormat="1" applyFont="1" applyFill="1" applyBorder="1" applyAlignment="1">
      <alignment horizontal="right"/>
    </xf>
    <xf numFmtId="195" fontId="18" fillId="39" borderId="14" xfId="0" applyNumberFormat="1" applyFont="1" applyFill="1" applyBorder="1" applyAlignment="1">
      <alignment horizontal="right"/>
    </xf>
    <xf numFmtId="195" fontId="15" fillId="39" borderId="14" xfId="0" applyNumberFormat="1" applyFont="1" applyFill="1" applyBorder="1" applyAlignment="1">
      <alignment horizontal="right"/>
    </xf>
    <xf numFmtId="195" fontId="15" fillId="39" borderId="15" xfId="0" applyNumberFormat="1" applyFont="1" applyFill="1" applyBorder="1" applyAlignment="1">
      <alignment horizontal="right"/>
    </xf>
    <xf numFmtId="195" fontId="18" fillId="39" borderId="0" xfId="0" applyNumberFormat="1" applyFont="1" applyFill="1" applyBorder="1" applyAlignment="1">
      <alignment horizontal="right"/>
    </xf>
    <xf numFmtId="195" fontId="15" fillId="39" borderId="0" xfId="0" applyNumberFormat="1" applyFont="1" applyFill="1" applyBorder="1" applyAlignment="1">
      <alignment horizontal="right"/>
    </xf>
    <xf numFmtId="195" fontId="15" fillId="39" borderId="16" xfId="0" applyNumberFormat="1" applyFont="1" applyFill="1" applyBorder="1" applyAlignment="1">
      <alignment horizontal="right"/>
    </xf>
    <xf numFmtId="195" fontId="18" fillId="39" borderId="10" xfId="0" applyNumberFormat="1" applyFont="1" applyFill="1" applyBorder="1" applyAlignment="1">
      <alignment horizontal="right"/>
    </xf>
    <xf numFmtId="195" fontId="15" fillId="39" borderId="10" xfId="0" applyNumberFormat="1" applyFont="1" applyFill="1" applyBorder="1" applyAlignment="1">
      <alignment horizontal="right"/>
    </xf>
    <xf numFmtId="195" fontId="1" fillId="0" borderId="15" xfId="0" applyNumberFormat="1" applyFont="1" applyFill="1" applyBorder="1" applyAlignment="1">
      <alignment horizontal="right" vertical="center"/>
    </xf>
    <xf numFmtId="195" fontId="1" fillId="39" borderId="15" xfId="0" applyNumberFormat="1" applyFont="1" applyFill="1" applyBorder="1" applyAlignment="1">
      <alignment horizontal="right" vertical="center"/>
    </xf>
    <xf numFmtId="195" fontId="1" fillId="39" borderId="25" xfId="0" applyNumberFormat="1" applyFont="1" applyFill="1" applyBorder="1" applyAlignment="1">
      <alignment horizontal="right" vertical="center"/>
    </xf>
    <xf numFmtId="195" fontId="1" fillId="0" borderId="25" xfId="0" applyNumberFormat="1" applyFont="1" applyFill="1" applyBorder="1" applyAlignment="1">
      <alignment horizontal="right" vertical="center"/>
    </xf>
    <xf numFmtId="195" fontId="1" fillId="39" borderId="2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wrapText="1"/>
    </xf>
    <xf numFmtId="195" fontId="1" fillId="0" borderId="11" xfId="0" applyNumberFormat="1" applyFont="1" applyFill="1" applyBorder="1" applyAlignment="1">
      <alignment horizontal="right" vertical="center" wrapText="1"/>
    </xf>
    <xf numFmtId="195" fontId="1" fillId="39" borderId="16" xfId="0" applyNumberFormat="1" applyFont="1" applyFill="1" applyBorder="1" applyAlignment="1">
      <alignment horizontal="right" vertical="center"/>
    </xf>
    <xf numFmtId="195" fontId="1" fillId="0" borderId="16" xfId="0" applyNumberFormat="1" applyFont="1" applyFill="1" applyBorder="1" applyAlignment="1">
      <alignment horizontal="right" vertical="center"/>
    </xf>
    <xf numFmtId="195" fontId="1" fillId="39" borderId="12" xfId="0" applyNumberFormat="1" applyFont="1" applyFill="1" applyBorder="1" applyAlignment="1">
      <alignment horizontal="right" vertical="center"/>
    </xf>
    <xf numFmtId="195" fontId="1" fillId="39" borderId="14" xfId="0" applyNumberFormat="1" applyFont="1" applyFill="1" applyBorder="1" applyAlignment="1">
      <alignment horizontal="right" vertical="center"/>
    </xf>
    <xf numFmtId="195" fontId="1" fillId="39" borderId="17" xfId="0" applyNumberFormat="1" applyFont="1" applyFill="1" applyBorder="1" applyAlignment="1">
      <alignment horizontal="right" vertical="center"/>
    </xf>
    <xf numFmtId="219" fontId="15" fillId="37" borderId="13" xfId="0" applyNumberFormat="1" applyFont="1" applyFill="1" applyBorder="1" applyAlignment="1" quotePrefix="1">
      <alignment horizontal="right" vertical="center"/>
    </xf>
    <xf numFmtId="219" fontId="15" fillId="37" borderId="14" xfId="0" applyNumberFormat="1" applyFont="1" applyFill="1" applyBorder="1" applyAlignment="1" quotePrefix="1">
      <alignment horizontal="right" vertical="center"/>
    </xf>
    <xf numFmtId="219" fontId="15" fillId="37" borderId="14" xfId="0" applyNumberFormat="1" applyFont="1" applyFill="1" applyBorder="1" applyAlignment="1">
      <alignment horizontal="right" vertical="center"/>
    </xf>
    <xf numFmtId="219" fontId="15" fillId="37" borderId="12" xfId="0" applyNumberFormat="1" applyFont="1" applyFill="1" applyBorder="1" applyAlignment="1">
      <alignment horizontal="right" vertical="center"/>
    </xf>
    <xf numFmtId="219" fontId="15" fillId="37" borderId="0" xfId="0" applyNumberFormat="1" applyFont="1" applyFill="1" applyBorder="1" applyAlignment="1" quotePrefix="1">
      <alignment horizontal="right" vertical="center"/>
    </xf>
    <xf numFmtId="219" fontId="18" fillId="37" borderId="0" xfId="0" applyNumberFormat="1" applyFont="1" applyFill="1" applyBorder="1" applyAlignment="1" quotePrefix="1">
      <alignment horizontal="right" vertical="center"/>
    </xf>
    <xf numFmtId="219" fontId="15" fillId="37" borderId="15" xfId="0" applyNumberFormat="1" applyFont="1" applyFill="1" applyBorder="1" applyAlignment="1" quotePrefix="1">
      <alignment horizontal="right" vertical="center"/>
    </xf>
    <xf numFmtId="219" fontId="15" fillId="37" borderId="18" xfId="0" applyNumberFormat="1" applyFont="1" applyFill="1" applyBorder="1" applyAlignment="1" quotePrefix="1">
      <alignment horizontal="right" vertical="center"/>
    </xf>
    <xf numFmtId="219" fontId="15" fillId="37" borderId="10" xfId="0" applyNumberFormat="1" applyFont="1" applyFill="1" applyBorder="1" applyAlignment="1" quotePrefix="1">
      <alignment horizontal="right" vertical="center"/>
    </xf>
    <xf numFmtId="219" fontId="1" fillId="0" borderId="13" xfId="0" applyNumberFormat="1" applyFont="1" applyFill="1" applyBorder="1" applyAlignment="1" quotePrefix="1">
      <alignment horizontal="right" vertical="center"/>
    </xf>
    <xf numFmtId="219" fontId="1" fillId="0" borderId="14" xfId="0" applyNumberFormat="1" applyFont="1" applyFill="1" applyBorder="1" applyAlignment="1" quotePrefix="1">
      <alignment horizontal="right" vertical="center"/>
    </xf>
    <xf numFmtId="219" fontId="1" fillId="0" borderId="14" xfId="0" applyNumberFormat="1" applyFont="1" applyFill="1" applyBorder="1" applyAlignment="1">
      <alignment horizontal="right" vertical="center"/>
    </xf>
    <xf numFmtId="219" fontId="1" fillId="0" borderId="32" xfId="0" applyNumberFormat="1" applyFont="1" applyFill="1" applyBorder="1" applyAlignment="1">
      <alignment horizontal="right" vertical="center"/>
    </xf>
    <xf numFmtId="219" fontId="1" fillId="0" borderId="12" xfId="0" applyNumberFormat="1" applyFont="1" applyFill="1" applyBorder="1" applyAlignment="1">
      <alignment horizontal="right" vertical="center"/>
    </xf>
    <xf numFmtId="219" fontId="1" fillId="37" borderId="20" xfId="0" applyNumberFormat="1" applyFont="1" applyFill="1" applyBorder="1" applyAlignment="1">
      <alignment horizontal="right" vertical="center"/>
    </xf>
    <xf numFmtId="219" fontId="1" fillId="37" borderId="0" xfId="0" applyNumberFormat="1" applyFont="1" applyFill="1" applyBorder="1" applyAlignment="1">
      <alignment horizontal="right" vertical="center"/>
    </xf>
    <xf numFmtId="219" fontId="1" fillId="37" borderId="25" xfId="0" applyNumberFormat="1" applyFont="1" applyFill="1" applyBorder="1" applyAlignment="1">
      <alignment horizontal="right" vertical="center"/>
    </xf>
    <xf numFmtId="219" fontId="1" fillId="37" borderId="15" xfId="0" applyNumberFormat="1" applyFont="1" applyFill="1" applyBorder="1" applyAlignment="1">
      <alignment horizontal="right" vertical="center"/>
    </xf>
    <xf numFmtId="219" fontId="1" fillId="0" borderId="20" xfId="0" applyNumberFormat="1" applyFont="1" applyFill="1" applyBorder="1" applyAlignment="1" quotePrefix="1">
      <alignment horizontal="right" vertical="center"/>
    </xf>
    <xf numFmtId="219" fontId="1" fillId="0" borderId="0" xfId="0" applyNumberFormat="1" applyFont="1" applyFill="1" applyBorder="1" applyAlignment="1" quotePrefix="1">
      <alignment horizontal="right" vertical="center"/>
    </xf>
    <xf numFmtId="219" fontId="1" fillId="0" borderId="0" xfId="0" applyNumberFormat="1" applyFont="1" applyFill="1" applyBorder="1" applyAlignment="1">
      <alignment horizontal="right" vertical="center"/>
    </xf>
    <xf numFmtId="219" fontId="1" fillId="0" borderId="0" xfId="0" applyNumberFormat="1" applyFont="1" applyBorder="1" applyAlignment="1">
      <alignment vertical="top" wrapText="1"/>
    </xf>
    <xf numFmtId="219" fontId="1" fillId="0" borderId="15" xfId="0" applyNumberFormat="1" applyFont="1" applyBorder="1" applyAlignment="1">
      <alignment vertical="top" wrapText="1"/>
    </xf>
    <xf numFmtId="219" fontId="1" fillId="0" borderId="20" xfId="0" applyNumberFormat="1" applyFont="1" applyFill="1" applyBorder="1" applyAlignment="1">
      <alignment horizontal="right" vertical="center"/>
    </xf>
    <xf numFmtId="219" fontId="1" fillId="0" borderId="25" xfId="0" applyNumberFormat="1" applyFont="1" applyFill="1" applyBorder="1" applyAlignment="1">
      <alignment horizontal="right" vertical="center"/>
    </xf>
    <xf numFmtId="219" fontId="1" fillId="0" borderId="26" xfId="0" applyNumberFormat="1" applyFont="1" applyFill="1" applyBorder="1" applyAlignment="1">
      <alignment horizontal="right" vertical="center"/>
    </xf>
    <xf numFmtId="219" fontId="1" fillId="0" borderId="11" xfId="0" applyNumberFormat="1" applyFont="1" applyFill="1" applyBorder="1" applyAlignment="1">
      <alignment horizontal="right" vertical="center"/>
    </xf>
    <xf numFmtId="219" fontId="1" fillId="0" borderId="15" xfId="0" applyNumberFormat="1" applyFont="1" applyFill="1" applyBorder="1" applyAlignment="1">
      <alignment horizontal="right" vertical="center"/>
    </xf>
    <xf numFmtId="219" fontId="1" fillId="37" borderId="26" xfId="0" applyNumberFormat="1" applyFont="1" applyFill="1" applyBorder="1" applyAlignment="1">
      <alignment horizontal="right" vertical="center"/>
    </xf>
    <xf numFmtId="219" fontId="1" fillId="39" borderId="15" xfId="0" applyNumberFormat="1" applyFont="1" applyFill="1" applyBorder="1" applyAlignment="1">
      <alignment horizontal="right" vertical="center"/>
    </xf>
    <xf numFmtId="219" fontId="1" fillId="39" borderId="20" xfId="0" applyNumberFormat="1" applyFont="1" applyFill="1" applyBorder="1" applyAlignment="1">
      <alignment horizontal="right" vertical="center"/>
    </xf>
    <xf numFmtId="219" fontId="1" fillId="39" borderId="0" xfId="0" applyNumberFormat="1" applyFont="1" applyFill="1" applyBorder="1" applyAlignment="1">
      <alignment horizontal="right" vertical="center"/>
    </xf>
    <xf numFmtId="219" fontId="1" fillId="39" borderId="26" xfId="0" applyNumberFormat="1" applyFont="1" applyFill="1" applyBorder="1" applyAlignment="1">
      <alignment horizontal="right" vertical="center"/>
    </xf>
    <xf numFmtId="219" fontId="17" fillId="0" borderId="0" xfId="0" applyNumberFormat="1" applyFont="1" applyFill="1" applyBorder="1" applyAlignment="1">
      <alignment horizontal="right" vertical="center"/>
    </xf>
    <xf numFmtId="219" fontId="1" fillId="0" borderId="26" xfId="0" applyNumberFormat="1" applyFont="1" applyBorder="1" applyAlignment="1">
      <alignment/>
    </xf>
    <xf numFmtId="219" fontId="1" fillId="0" borderId="0" xfId="0" applyNumberFormat="1" applyFont="1" applyAlignment="1">
      <alignment/>
    </xf>
    <xf numFmtId="219" fontId="1" fillId="39" borderId="25" xfId="0" applyNumberFormat="1" applyFont="1" applyFill="1" applyBorder="1" applyAlignment="1">
      <alignment horizontal="right" vertical="center"/>
    </xf>
    <xf numFmtId="219" fontId="17" fillId="39" borderId="0" xfId="0" applyNumberFormat="1" applyFont="1" applyFill="1" applyBorder="1" applyAlignment="1">
      <alignment horizontal="right" vertical="center"/>
    </xf>
    <xf numFmtId="219" fontId="1" fillId="39" borderId="18" xfId="0" applyNumberFormat="1" applyFont="1" applyFill="1" applyBorder="1" applyAlignment="1">
      <alignment horizontal="right" vertical="center"/>
    </xf>
    <xf numFmtId="219" fontId="1" fillId="39" borderId="10" xfId="0" applyNumberFormat="1" applyFont="1" applyFill="1" applyBorder="1" applyAlignment="1">
      <alignment horizontal="right" vertical="center"/>
    </xf>
    <xf numFmtId="219" fontId="1" fillId="39" borderId="31" xfId="0" applyNumberFormat="1" applyFont="1" applyFill="1" applyBorder="1" applyAlignment="1">
      <alignment horizontal="right" vertical="center"/>
    </xf>
    <xf numFmtId="219" fontId="1" fillId="39" borderId="16" xfId="0" applyNumberFormat="1" applyFont="1" applyFill="1" applyBorder="1" applyAlignment="1">
      <alignment horizontal="right" vertical="center"/>
    </xf>
    <xf numFmtId="219" fontId="1" fillId="0" borderId="13" xfId="0" applyNumberFormat="1" applyFont="1" applyFill="1" applyBorder="1" applyAlignment="1">
      <alignment horizontal="right" vertical="center"/>
    </xf>
    <xf numFmtId="219" fontId="1" fillId="0" borderId="18" xfId="0" applyNumberFormat="1" applyFont="1" applyFill="1" applyBorder="1" applyAlignment="1">
      <alignment horizontal="right" vertical="center"/>
    </xf>
    <xf numFmtId="219" fontId="1" fillId="0" borderId="10" xfId="0" applyNumberFormat="1" applyFont="1" applyFill="1" applyBorder="1" applyAlignment="1">
      <alignment horizontal="right" vertical="center"/>
    </xf>
    <xf numFmtId="219" fontId="1" fillId="0" borderId="16" xfId="0" applyNumberFormat="1" applyFont="1" applyFill="1" applyBorder="1" applyAlignment="1">
      <alignment horizontal="right" vertical="center"/>
    </xf>
    <xf numFmtId="219" fontId="1" fillId="39" borderId="13" xfId="0" applyNumberFormat="1" applyFont="1" applyFill="1" applyBorder="1" applyAlignment="1">
      <alignment horizontal="right" vertical="center"/>
    </xf>
    <xf numFmtId="219" fontId="1" fillId="39" borderId="14" xfId="0" applyNumberFormat="1" applyFont="1" applyFill="1" applyBorder="1" applyAlignment="1">
      <alignment horizontal="right" vertical="center"/>
    </xf>
    <xf numFmtId="219" fontId="1" fillId="39" borderId="12" xfId="0" applyNumberFormat="1" applyFont="1" applyFill="1" applyBorder="1" applyAlignment="1">
      <alignment horizontal="right" vertical="center"/>
    </xf>
    <xf numFmtId="3" fontId="1" fillId="0" borderId="0" xfId="0" applyNumberFormat="1" applyFont="1" applyBorder="1" applyAlignment="1">
      <alignment/>
    </xf>
    <xf numFmtId="219" fontId="15" fillId="37" borderId="13" xfId="0" applyNumberFormat="1" applyFont="1" applyFill="1" applyBorder="1" applyAlignment="1">
      <alignment horizontal="center" vertical="center"/>
    </xf>
    <xf numFmtId="219" fontId="15" fillId="37" borderId="14" xfId="0" applyNumberFormat="1" applyFont="1" applyFill="1" applyBorder="1" applyAlignment="1">
      <alignment horizontal="center" vertical="center"/>
    </xf>
    <xf numFmtId="219" fontId="15" fillId="37" borderId="20" xfId="0" applyNumberFormat="1" applyFont="1" applyFill="1" applyBorder="1" applyAlignment="1">
      <alignment horizontal="center" vertical="center"/>
    </xf>
    <xf numFmtId="219" fontId="15" fillId="37" borderId="18" xfId="0" applyNumberFormat="1" applyFont="1" applyFill="1" applyBorder="1" applyAlignment="1">
      <alignment horizontal="center" vertical="center"/>
    </xf>
    <xf numFmtId="219" fontId="15" fillId="37" borderId="10" xfId="0" applyNumberFormat="1" applyFont="1" applyFill="1" applyBorder="1" applyAlignment="1">
      <alignment horizontal="right" vertical="center"/>
    </xf>
    <xf numFmtId="219" fontId="1" fillId="37" borderId="11" xfId="0" applyNumberFormat="1" applyFont="1" applyFill="1" applyBorder="1" applyAlignment="1">
      <alignment horizontal="right" vertical="center"/>
    </xf>
    <xf numFmtId="219" fontId="17" fillId="39" borderId="20" xfId="0" applyNumberFormat="1" applyFont="1" applyFill="1" applyBorder="1" applyAlignment="1">
      <alignment horizontal="right" vertical="center"/>
    </xf>
    <xf numFmtId="219" fontId="1" fillId="39" borderId="36" xfId="0" applyNumberFormat="1" applyFont="1" applyFill="1" applyBorder="1" applyAlignment="1">
      <alignment horizontal="right" vertical="center"/>
    </xf>
    <xf numFmtId="219" fontId="15" fillId="37" borderId="13" xfId="0" applyNumberFormat="1" applyFont="1" applyFill="1" applyBorder="1" applyAlignment="1">
      <alignment horizontal="right" vertical="center"/>
    </xf>
    <xf numFmtId="219" fontId="15" fillId="37" borderId="17" xfId="0" applyNumberFormat="1" applyFont="1" applyFill="1" applyBorder="1" applyAlignment="1">
      <alignment horizontal="right" vertical="center"/>
    </xf>
    <xf numFmtId="219" fontId="15" fillId="37" borderId="20" xfId="0" applyNumberFormat="1" applyFont="1" applyFill="1" applyBorder="1" applyAlignment="1">
      <alignment horizontal="right" vertical="center"/>
    </xf>
    <xf numFmtId="219" fontId="15" fillId="39" borderId="0" xfId="0" applyNumberFormat="1" applyFont="1" applyFill="1" applyBorder="1" applyAlignment="1">
      <alignment horizontal="right" vertical="center"/>
    </xf>
    <xf numFmtId="219" fontId="15" fillId="37" borderId="11" xfId="0" applyNumberFormat="1" applyFont="1" applyFill="1" applyBorder="1" applyAlignment="1">
      <alignment horizontal="right" vertical="center"/>
    </xf>
    <xf numFmtId="219" fontId="15" fillId="37" borderId="18" xfId="0" applyNumberFormat="1" applyFont="1" applyFill="1" applyBorder="1" applyAlignment="1">
      <alignment horizontal="right" vertical="center"/>
    </xf>
    <xf numFmtId="219" fontId="15" fillId="37" borderId="19" xfId="0" applyNumberFormat="1" applyFont="1" applyFill="1" applyBorder="1" applyAlignment="1">
      <alignment horizontal="right" vertical="center"/>
    </xf>
    <xf numFmtId="219" fontId="1" fillId="0" borderId="17" xfId="0" applyNumberFormat="1" applyFont="1" applyFill="1" applyBorder="1" applyAlignment="1">
      <alignment horizontal="right" vertical="center"/>
    </xf>
    <xf numFmtId="219" fontId="1" fillId="39" borderId="11" xfId="0" applyNumberFormat="1" applyFont="1" applyFill="1" applyBorder="1" applyAlignment="1">
      <alignment horizontal="right" vertical="center"/>
    </xf>
    <xf numFmtId="219" fontId="1" fillId="0" borderId="0" xfId="0" applyNumberFormat="1" applyFont="1" applyFill="1" applyAlignment="1">
      <alignment horizontal="center" vertical="center"/>
    </xf>
    <xf numFmtId="219" fontId="1" fillId="39" borderId="19" xfId="0" applyNumberFormat="1" applyFont="1" applyFill="1" applyBorder="1" applyAlignment="1">
      <alignment horizontal="right" vertical="center"/>
    </xf>
    <xf numFmtId="219" fontId="17" fillId="0" borderId="11" xfId="0" applyNumberFormat="1" applyFont="1" applyFill="1" applyBorder="1" applyAlignment="1">
      <alignment horizontal="right" vertical="center"/>
    </xf>
    <xf numFmtId="164" fontId="21" fillId="0" borderId="18" xfId="0" applyNumberFormat="1" applyFont="1" applyFill="1" applyBorder="1" applyAlignment="1">
      <alignment horizontal="right" vertical="center"/>
    </xf>
    <xf numFmtId="164" fontId="21" fillId="0" borderId="10" xfId="0" applyNumberFormat="1" applyFont="1" applyFill="1" applyBorder="1" applyAlignment="1">
      <alignment horizontal="right" vertical="center"/>
    </xf>
    <xf numFmtId="219" fontId="21" fillId="0" borderId="10" xfId="0" applyNumberFormat="1" applyFont="1" applyFill="1" applyBorder="1" applyAlignment="1">
      <alignment horizontal="right" vertical="center"/>
    </xf>
    <xf numFmtId="219" fontId="1" fillId="0" borderId="19" xfId="0" applyNumberFormat="1" applyFont="1" applyFill="1" applyBorder="1" applyAlignment="1">
      <alignment horizontal="right" vertical="center"/>
    </xf>
    <xf numFmtId="220" fontId="15" fillId="37" borderId="13" xfId="0" applyNumberFormat="1" applyFont="1" applyFill="1" applyBorder="1" applyAlignment="1">
      <alignment horizontal="right"/>
    </xf>
    <xf numFmtId="220" fontId="15" fillId="37" borderId="14" xfId="0" applyNumberFormat="1" applyFont="1" applyFill="1" applyBorder="1" applyAlignment="1">
      <alignment horizontal="right" vertical="center"/>
    </xf>
    <xf numFmtId="220" fontId="15" fillId="37" borderId="0" xfId="0" applyNumberFormat="1" applyFont="1" applyFill="1" applyBorder="1" applyAlignment="1">
      <alignment horizontal="right" vertical="center"/>
    </xf>
    <xf numFmtId="220" fontId="15" fillId="37" borderId="20" xfId="0" applyNumberFormat="1" applyFont="1" applyFill="1" applyBorder="1" applyAlignment="1">
      <alignment horizontal="right"/>
    </xf>
    <xf numFmtId="220" fontId="15" fillId="37" borderId="18" xfId="0" applyNumberFormat="1" applyFont="1" applyFill="1" applyBorder="1" applyAlignment="1">
      <alignment horizontal="right" vertical="center"/>
    </xf>
    <xf numFmtId="220" fontId="15" fillId="37" borderId="10" xfId="0" applyNumberFormat="1" applyFont="1" applyFill="1" applyBorder="1" applyAlignment="1">
      <alignment horizontal="right" vertical="center"/>
    </xf>
    <xf numFmtId="3" fontId="1" fillId="0" borderId="12" xfId="0" applyNumberFormat="1" applyFont="1" applyFill="1" applyBorder="1" applyAlignment="1">
      <alignment horizontal="right" vertical="center"/>
    </xf>
    <xf numFmtId="220" fontId="1" fillId="0" borderId="13" xfId="0" applyNumberFormat="1" applyFont="1" applyFill="1" applyBorder="1" applyAlignment="1">
      <alignment horizontal="right" vertical="center"/>
    </xf>
    <xf numFmtId="220" fontId="1" fillId="0" borderId="14" xfId="0" applyNumberFormat="1" applyFont="1" applyFill="1" applyBorder="1" applyAlignment="1">
      <alignment horizontal="right" vertical="center"/>
    </xf>
    <xf numFmtId="220" fontId="1" fillId="0" borderId="14" xfId="0" applyNumberFormat="1" applyFont="1" applyFill="1" applyBorder="1" applyAlignment="1">
      <alignment vertical="center"/>
    </xf>
    <xf numFmtId="220" fontId="1" fillId="0" borderId="0" xfId="0" applyNumberFormat="1" applyFont="1" applyFill="1" applyBorder="1" applyAlignment="1">
      <alignment vertical="center"/>
    </xf>
    <xf numFmtId="220" fontId="1" fillId="37" borderId="20" xfId="0" applyNumberFormat="1" applyFont="1" applyFill="1" applyBorder="1" applyAlignment="1">
      <alignment horizontal="right" vertical="center"/>
    </xf>
    <xf numFmtId="220" fontId="1" fillId="37" borderId="0" xfId="0" applyNumberFormat="1" applyFont="1" applyFill="1" applyBorder="1" applyAlignment="1">
      <alignment horizontal="right" vertical="center"/>
    </xf>
    <xf numFmtId="220" fontId="1" fillId="0" borderId="20" xfId="0" applyNumberFormat="1" applyFont="1" applyFill="1" applyBorder="1" applyAlignment="1" quotePrefix="1">
      <alignment horizontal="right" vertical="center"/>
    </xf>
    <xf numFmtId="220" fontId="1" fillId="0" borderId="0" xfId="0" applyNumberFormat="1" applyFont="1" applyFill="1" applyBorder="1" applyAlignment="1">
      <alignment horizontal="right" vertical="center"/>
    </xf>
    <xf numFmtId="220" fontId="1" fillId="0" borderId="0" xfId="0" applyNumberFormat="1" applyFont="1" applyFill="1" applyAlignment="1">
      <alignment horizontal="right" vertical="center"/>
    </xf>
    <xf numFmtId="220" fontId="1" fillId="37" borderId="0" xfId="0" applyNumberFormat="1" applyFont="1" applyFill="1" applyAlignment="1">
      <alignment horizontal="right" vertical="center"/>
    </xf>
    <xf numFmtId="220" fontId="1" fillId="37" borderId="0" xfId="0" applyNumberFormat="1" applyFont="1" applyFill="1" applyBorder="1" applyAlignment="1">
      <alignment vertical="center"/>
    </xf>
    <xf numFmtId="220" fontId="1" fillId="0" borderId="20" xfId="0" applyNumberFormat="1" applyFont="1" applyFill="1" applyBorder="1" applyAlignment="1">
      <alignment horizontal="right" vertical="center"/>
    </xf>
    <xf numFmtId="220" fontId="1" fillId="39" borderId="20" xfId="0" applyNumberFormat="1" applyFont="1" applyFill="1" applyBorder="1" applyAlignment="1">
      <alignment horizontal="right" vertical="center"/>
    </xf>
    <xf numFmtId="220" fontId="1" fillId="39" borderId="0" xfId="0" applyNumberFormat="1" applyFont="1" applyFill="1" applyBorder="1" applyAlignment="1">
      <alignment horizontal="right" vertical="center"/>
    </xf>
    <xf numFmtId="220" fontId="1" fillId="39" borderId="0" xfId="0" applyNumberFormat="1" applyFont="1" applyFill="1" applyAlignment="1">
      <alignment horizontal="right" vertical="center"/>
    </xf>
    <xf numFmtId="220" fontId="1" fillId="39" borderId="0" xfId="0" applyNumberFormat="1" applyFont="1" applyFill="1" applyBorder="1" applyAlignment="1">
      <alignment vertical="center"/>
    </xf>
    <xf numFmtId="196" fontId="1" fillId="0" borderId="12" xfId="0" applyNumberFormat="1" applyFont="1" applyFill="1" applyBorder="1" applyAlignment="1">
      <alignment vertical="center"/>
    </xf>
    <xf numFmtId="196" fontId="1" fillId="39" borderId="15" xfId="0" applyNumberFormat="1" applyFont="1" applyFill="1" applyBorder="1" applyAlignment="1">
      <alignment horizontal="center" vertical="center"/>
    </xf>
    <xf numFmtId="220" fontId="1" fillId="0" borderId="10" xfId="0" applyNumberFormat="1" applyFont="1" applyFill="1" applyBorder="1" applyAlignment="1">
      <alignment horizontal="right" vertical="center"/>
    </xf>
    <xf numFmtId="3" fontId="15" fillId="39" borderId="13" xfId="0" applyNumberFormat="1" applyFont="1" applyFill="1" applyBorder="1" applyAlignment="1">
      <alignment horizontal="right" vertical="center"/>
    </xf>
    <xf numFmtId="3" fontId="15" fillId="39" borderId="12" xfId="0" applyNumberFormat="1" applyFont="1" applyFill="1" applyBorder="1" applyAlignment="1">
      <alignment horizontal="right" vertical="center"/>
    </xf>
    <xf numFmtId="220" fontId="1" fillId="39" borderId="13" xfId="0" applyNumberFormat="1" applyFont="1" applyFill="1" applyBorder="1" applyAlignment="1">
      <alignment horizontal="right" vertical="center"/>
    </xf>
    <xf numFmtId="220" fontId="1" fillId="39" borderId="14" xfId="0" applyNumberFormat="1" applyFont="1" applyFill="1" applyBorder="1" applyAlignment="1">
      <alignment horizontal="right" vertical="center"/>
    </xf>
    <xf numFmtId="220" fontId="15" fillId="0" borderId="0" xfId="0" applyNumberFormat="1" applyFont="1" applyFill="1" applyBorder="1" applyAlignment="1">
      <alignment horizontal="right" vertical="center"/>
    </xf>
    <xf numFmtId="3" fontId="1" fillId="39" borderId="18" xfId="77" applyNumberFormat="1" applyFont="1" applyFill="1" applyBorder="1" applyAlignment="1">
      <alignment vertical="center"/>
      <protection/>
    </xf>
    <xf numFmtId="3" fontId="1" fillId="39" borderId="16" xfId="77" applyNumberFormat="1" applyFont="1" applyFill="1" applyBorder="1" applyAlignment="1">
      <alignment vertical="center"/>
      <protection/>
    </xf>
    <xf numFmtId="220" fontId="1" fillId="39" borderId="18" xfId="77" applyNumberFormat="1" applyFont="1" applyFill="1" applyBorder="1" applyAlignment="1">
      <alignment vertical="center"/>
      <protection/>
    </xf>
    <xf numFmtId="220" fontId="1" fillId="39" borderId="10" xfId="77" applyNumberFormat="1" applyFont="1" applyFill="1" applyBorder="1" applyAlignment="1">
      <alignment vertical="center"/>
      <protection/>
    </xf>
    <xf numFmtId="220" fontId="1" fillId="39" borderId="10" xfId="0" applyNumberFormat="1" applyFont="1" applyFill="1" applyBorder="1" applyAlignment="1">
      <alignment horizontal="right" vertical="center"/>
    </xf>
    <xf numFmtId="0" fontId="9" fillId="13" borderId="0" xfId="0" applyFont="1" applyFill="1" applyBorder="1" applyAlignment="1">
      <alignment wrapText="1"/>
    </xf>
    <xf numFmtId="0" fontId="0" fillId="0" borderId="0" xfId="0" applyAlignment="1">
      <alignment wrapText="1"/>
    </xf>
    <xf numFmtId="0" fontId="9" fillId="0" borderId="0" xfId="0" applyFont="1" applyFill="1" applyBorder="1" applyAlignment="1">
      <alignment horizontal="center" wrapText="1"/>
    </xf>
    <xf numFmtId="0" fontId="9" fillId="13" borderId="0" xfId="0" applyFont="1" applyFill="1" applyBorder="1" applyAlignment="1">
      <alignment horizontal="center" wrapText="1"/>
    </xf>
    <xf numFmtId="0" fontId="8" fillId="0" borderId="10" xfId="0" applyFont="1" applyFill="1" applyBorder="1" applyAlignment="1">
      <alignment horizontal="center" wrapText="1"/>
    </xf>
    <xf numFmtId="0" fontId="9" fillId="0" borderId="10" xfId="0" applyFont="1" applyFill="1" applyBorder="1" applyAlignment="1">
      <alignment horizontal="center" wrapText="1"/>
    </xf>
    <xf numFmtId="0" fontId="10" fillId="0" borderId="0" xfId="0" applyFont="1" applyFill="1" applyBorder="1" applyAlignment="1">
      <alignment textRotation="90" wrapText="1"/>
    </xf>
    <xf numFmtId="0" fontId="76" fillId="0" borderId="0" xfId="0" applyNumberFormat="1" applyFont="1" applyFill="1" applyBorder="1" applyAlignment="1">
      <alignment horizontal="center" wrapText="1"/>
    </xf>
    <xf numFmtId="0" fontId="0" fillId="13" borderId="0" xfId="0" applyFill="1" applyAlignment="1">
      <alignment wrapText="1"/>
    </xf>
    <xf numFmtId="0" fontId="8" fillId="0" borderId="0" xfId="0" applyFont="1" applyBorder="1" applyAlignment="1">
      <alignment horizontal="center" vertical="top"/>
    </xf>
    <xf numFmtId="0" fontId="15" fillId="36" borderId="13" xfId="0" applyFont="1" applyFill="1" applyBorder="1" applyAlignment="1">
      <alignment horizontal="center" vertical="center"/>
    </xf>
    <xf numFmtId="0" fontId="15" fillId="36" borderId="17" xfId="0" applyFont="1" applyFill="1" applyBorder="1" applyAlignment="1">
      <alignment horizontal="center" vertical="center"/>
    </xf>
    <xf numFmtId="0" fontId="15" fillId="36" borderId="20" xfId="0" applyFont="1" applyFill="1" applyBorder="1" applyAlignment="1">
      <alignment horizontal="center" vertical="center"/>
    </xf>
    <xf numFmtId="0" fontId="15" fillId="36" borderId="11" xfId="0" applyFont="1" applyFill="1" applyBorder="1" applyAlignment="1">
      <alignment horizontal="center" vertical="center"/>
    </xf>
    <xf numFmtId="1" fontId="15" fillId="36" borderId="13" xfId="0" applyNumberFormat="1" applyFont="1" applyFill="1" applyBorder="1" applyAlignment="1">
      <alignment horizontal="center" vertical="center" wrapText="1"/>
    </xf>
    <xf numFmtId="1" fontId="15" fillId="36" borderId="17" xfId="0" applyNumberFormat="1" applyFont="1" applyFill="1" applyBorder="1" applyAlignment="1">
      <alignment horizontal="center" vertical="center" wrapText="1"/>
    </xf>
    <xf numFmtId="1" fontId="15" fillId="36" borderId="20" xfId="0" applyNumberFormat="1" applyFont="1" applyFill="1" applyBorder="1" applyAlignment="1">
      <alignment horizontal="center" vertical="center" wrapText="1"/>
    </xf>
    <xf numFmtId="1" fontId="15" fillId="36" borderId="11" xfId="0" applyNumberFormat="1" applyFont="1" applyFill="1" applyBorder="1" applyAlignment="1">
      <alignment horizontal="center" vertical="center" wrapText="1"/>
    </xf>
    <xf numFmtId="1" fontId="15" fillId="36" borderId="13" xfId="0" applyNumberFormat="1" applyFont="1" applyFill="1" applyBorder="1" applyAlignment="1">
      <alignment horizontal="center" wrapText="1"/>
    </xf>
    <xf numFmtId="1" fontId="15" fillId="36" borderId="14" xfId="0" applyNumberFormat="1" applyFont="1" applyFill="1" applyBorder="1" applyAlignment="1">
      <alignment horizontal="center" wrapText="1"/>
    </xf>
    <xf numFmtId="1" fontId="15" fillId="36" borderId="17" xfId="0" applyNumberFormat="1" applyFont="1" applyFill="1" applyBorder="1" applyAlignment="1">
      <alignment horizontal="center" wrapText="1"/>
    </xf>
    <xf numFmtId="1" fontId="15" fillId="36" borderId="20" xfId="0" applyNumberFormat="1" applyFont="1" applyFill="1" applyBorder="1" applyAlignment="1">
      <alignment horizontal="center" wrapText="1"/>
    </xf>
    <xf numFmtId="1" fontId="15" fillId="36" borderId="0" xfId="0" applyNumberFormat="1" applyFont="1" applyFill="1" applyBorder="1" applyAlignment="1">
      <alignment horizontal="center" wrapText="1"/>
    </xf>
    <xf numFmtId="1" fontId="15" fillId="36" borderId="11" xfId="0" applyNumberFormat="1" applyFont="1" applyFill="1" applyBorder="1" applyAlignment="1">
      <alignment horizontal="center" wrapText="1"/>
    </xf>
    <xf numFmtId="196" fontId="15" fillId="0" borderId="0" xfId="0" applyNumberFormat="1" applyFont="1" applyFill="1" applyBorder="1" applyAlignment="1">
      <alignment horizontal="left" wrapText="1"/>
    </xf>
    <xf numFmtId="196" fontId="15" fillId="0" borderId="0" xfId="0" applyNumberFormat="1" applyFont="1" applyFill="1" applyBorder="1" applyAlignment="1">
      <alignment horizontal="left" vertical="top" wrapText="1"/>
    </xf>
    <xf numFmtId="0" fontId="0" fillId="0" borderId="0" xfId="0" applyAlignment="1">
      <alignment vertical="top" wrapText="1"/>
    </xf>
    <xf numFmtId="196" fontId="1" fillId="0" borderId="0" xfId="0" applyNumberFormat="1" applyFont="1" applyFill="1" applyBorder="1" applyAlignment="1">
      <alignment horizontal="left" vertical="top" wrapText="1"/>
    </xf>
    <xf numFmtId="0" fontId="0" fillId="0" borderId="0" xfId="0" applyFont="1" applyAlignment="1">
      <alignment vertical="top" wrapText="1"/>
    </xf>
    <xf numFmtId="0" fontId="1" fillId="0" borderId="0" xfId="0" applyFont="1" applyFill="1" applyBorder="1" applyAlignment="1" quotePrefix="1">
      <alignment vertical="top" wrapText="1"/>
    </xf>
    <xf numFmtId="0" fontId="8" fillId="0" borderId="0" xfId="0" applyFont="1" applyBorder="1" applyAlignment="1">
      <alignment horizontal="center" vertical="top" wrapText="1"/>
    </xf>
    <xf numFmtId="0" fontId="14" fillId="0" borderId="0" xfId="0" applyFont="1" applyBorder="1" applyAlignment="1">
      <alignment horizontal="center" vertical="center" wrapText="1"/>
    </xf>
    <xf numFmtId="0" fontId="15" fillId="0" borderId="0" xfId="0" applyFont="1" applyFill="1" applyBorder="1" applyAlignment="1" quotePrefix="1">
      <alignment wrapText="1"/>
    </xf>
    <xf numFmtId="0" fontId="15" fillId="0" borderId="14" xfId="0" applyFont="1" applyFill="1" applyBorder="1" applyAlignment="1" quotePrefix="1">
      <alignment wrapText="1"/>
    </xf>
    <xf numFmtId="49" fontId="1" fillId="0" borderId="0" xfId="0" applyNumberFormat="1" applyFont="1" applyBorder="1" applyAlignment="1">
      <alignment horizontal="left" vertical="top" wrapText="1"/>
    </xf>
    <xf numFmtId="49" fontId="15" fillId="0" borderId="0" xfId="0" applyNumberFormat="1" applyFont="1" applyBorder="1" applyAlignment="1">
      <alignment horizontal="left" wrapText="1"/>
    </xf>
    <xf numFmtId="0" fontId="1" fillId="0" borderId="10" xfId="0" applyFont="1" applyBorder="1" applyAlignment="1">
      <alignment horizontal="right" vertical="center"/>
    </xf>
    <xf numFmtId="0" fontId="15" fillId="0" borderId="14" xfId="0" applyFont="1" applyBorder="1" applyAlignment="1">
      <alignment wrapText="1"/>
    </xf>
    <xf numFmtId="0" fontId="1" fillId="0" borderId="0" xfId="0" applyFont="1" applyAlignment="1">
      <alignment horizontal="left" vertical="top" wrapText="1"/>
    </xf>
    <xf numFmtId="0" fontId="8" fillId="0" borderId="0" xfId="0" applyNumberFormat="1" applyFont="1" applyBorder="1" applyAlignment="1">
      <alignment horizontal="center" vertical="top"/>
    </xf>
    <xf numFmtId="0" fontId="15" fillId="0" borderId="0" xfId="0" applyFont="1" applyBorder="1" applyAlignment="1">
      <alignment horizontal="left"/>
    </xf>
    <xf numFmtId="0" fontId="8" fillId="0" borderId="0" xfId="0" applyFont="1" applyAlignment="1">
      <alignment horizontal="center" vertical="center" wrapText="1"/>
    </xf>
    <xf numFmtId="0" fontId="14" fillId="0" borderId="0" xfId="0" applyFont="1" applyAlignment="1">
      <alignment horizontal="center" vertical="center"/>
    </xf>
    <xf numFmtId="0" fontId="0" fillId="0" borderId="0" xfId="0" applyFont="1" applyAlignment="1">
      <alignment horizontal="center" vertical="center"/>
    </xf>
    <xf numFmtId="0" fontId="1" fillId="0" borderId="10" xfId="0" applyFont="1" applyBorder="1" applyAlignment="1">
      <alignment wrapText="1"/>
    </xf>
    <xf numFmtId="0" fontId="8" fillId="0" borderId="0" xfId="62" applyFont="1" applyBorder="1" applyAlignment="1">
      <alignment horizontal="center" vertical="top"/>
      <protection/>
    </xf>
    <xf numFmtId="49" fontId="15" fillId="0" borderId="0" xfId="62" applyNumberFormat="1" applyFont="1" applyAlignment="1">
      <alignment vertical="top" wrapText="1"/>
      <protection/>
    </xf>
    <xf numFmtId="49" fontId="15" fillId="0" borderId="14" xfId="62" applyNumberFormat="1" applyFont="1" applyBorder="1" applyAlignment="1">
      <alignment horizontal="left" wrapText="1"/>
      <protection/>
    </xf>
    <xf numFmtId="0" fontId="1" fillId="0" borderId="0" xfId="62" applyFont="1" applyAlignment="1">
      <alignment horizontal="center" vertical="center" wrapText="1"/>
      <protection/>
    </xf>
    <xf numFmtId="0" fontId="1" fillId="0" borderId="0" xfId="62" applyFont="1" applyAlignment="1">
      <alignment horizontal="center" vertical="center"/>
      <protection/>
    </xf>
    <xf numFmtId="0" fontId="8" fillId="0" borderId="0" xfId="62" applyFont="1" applyFill="1" applyBorder="1" applyAlignment="1">
      <alignment horizontal="center" vertical="top"/>
      <protection/>
    </xf>
    <xf numFmtId="49" fontId="15" fillId="0" borderId="0" xfId="62" applyNumberFormat="1" applyFont="1" applyBorder="1" applyAlignment="1">
      <alignment horizontal="left" wrapText="1"/>
      <protection/>
    </xf>
    <xf numFmtId="0" fontId="13"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center"/>
    </xf>
    <xf numFmtId="0" fontId="15" fillId="0" borderId="14" xfId="0" applyFont="1" applyBorder="1" applyAlignment="1">
      <alignment horizontal="left" wrapText="1"/>
    </xf>
    <xf numFmtId="0" fontId="9" fillId="0" borderId="0" xfId="0" applyFont="1" applyAlignment="1">
      <alignment vertical="top" wrapText="1"/>
    </xf>
    <xf numFmtId="0" fontId="0" fillId="0" borderId="0" xfId="0" applyFont="1" applyBorder="1" applyAlignment="1">
      <alignment horizontal="center" vertical="center"/>
    </xf>
    <xf numFmtId="0" fontId="15" fillId="35" borderId="12" xfId="0" applyFont="1" applyFill="1" applyBorder="1" applyAlignment="1">
      <alignment horizontal="center" vertical="center" wrapText="1"/>
    </xf>
    <xf numFmtId="0" fontId="15" fillId="35" borderId="15" xfId="0" applyFont="1" applyFill="1" applyBorder="1" applyAlignment="1">
      <alignment horizontal="center" vertical="center" wrapText="1"/>
    </xf>
    <xf numFmtId="0" fontId="15" fillId="35" borderId="16" xfId="0" applyFont="1" applyFill="1" applyBorder="1" applyAlignment="1">
      <alignment horizontal="center" vertical="center" wrapText="1"/>
    </xf>
    <xf numFmtId="195" fontId="1" fillId="39" borderId="0" xfId="0" applyNumberFormat="1" applyFont="1" applyFill="1" applyBorder="1" applyAlignment="1">
      <alignment horizontal="center" vertical="center"/>
    </xf>
    <xf numFmtId="195" fontId="0" fillId="39" borderId="11" xfId="0" applyNumberFormat="1" applyFill="1" applyBorder="1" applyAlignment="1">
      <alignment horizontal="center" vertical="center"/>
    </xf>
    <xf numFmtId="195" fontId="1" fillId="39" borderId="11" xfId="0" applyNumberFormat="1" applyFont="1" applyFill="1" applyBorder="1" applyAlignment="1">
      <alignment horizontal="center" vertical="center"/>
    </xf>
    <xf numFmtId="0" fontId="15" fillId="0" borderId="0" xfId="0" applyFont="1" applyAlignment="1">
      <alignment horizontal="left" wrapText="1"/>
    </xf>
    <xf numFmtId="0" fontId="15" fillId="0" borderId="0" xfId="0" applyFont="1" applyAlignment="1">
      <alignment horizontal="left" vertical="top" wrapText="1"/>
    </xf>
    <xf numFmtId="0" fontId="13" fillId="0" borderId="0" xfId="0" applyFont="1" applyAlignment="1" quotePrefix="1">
      <alignment horizontal="left"/>
    </xf>
    <xf numFmtId="0" fontId="8" fillId="0" borderId="0" xfId="0" applyFont="1" applyFill="1" applyAlignment="1">
      <alignment horizontal="right" vertical="center" wrapText="1"/>
    </xf>
    <xf numFmtId="0" fontId="0" fillId="0" borderId="10" xfId="0" applyFont="1" applyBorder="1" applyAlignment="1">
      <alignment horizontal="center" vertical="center"/>
    </xf>
    <xf numFmtId="0" fontId="1" fillId="0" borderId="0" xfId="0" applyFont="1" applyAlignment="1">
      <alignment wrapText="1"/>
    </xf>
    <xf numFmtId="0" fontId="14" fillId="0" borderId="0" xfId="0" applyFont="1" applyBorder="1" applyAlignment="1">
      <alignment horizontal="center" vertical="top"/>
    </xf>
    <xf numFmtId="0" fontId="0" fillId="0" borderId="14" xfId="0" applyBorder="1" applyAlignment="1">
      <alignment wrapText="1"/>
    </xf>
    <xf numFmtId="0" fontId="15" fillId="0" borderId="0" xfId="0" applyFont="1" applyAlignment="1">
      <alignment wrapText="1"/>
    </xf>
    <xf numFmtId="0" fontId="1" fillId="0" borderId="0" xfId="0" applyFont="1" applyAlignment="1">
      <alignment vertical="top" wrapText="1"/>
    </xf>
    <xf numFmtId="0" fontId="14" fillId="0" borderId="0" xfId="0" applyFont="1" applyBorder="1" applyAlignment="1">
      <alignment horizontal="center" vertical="center"/>
    </xf>
    <xf numFmtId="0" fontId="0" fillId="0" borderId="14" xfId="0" applyBorder="1" applyAlignment="1">
      <alignment horizontal="left" wrapText="1"/>
    </xf>
    <xf numFmtId="0" fontId="1" fillId="0" borderId="0" xfId="0" applyFont="1" applyBorder="1" applyAlignment="1">
      <alignment vertical="top" wrapText="1"/>
    </xf>
    <xf numFmtId="0" fontId="15" fillId="0" borderId="14" xfId="0" applyFont="1" applyBorder="1" applyAlignment="1">
      <alignment vertical="center" wrapText="1"/>
    </xf>
    <xf numFmtId="0" fontId="0" fillId="0" borderId="14" xfId="0" applyBorder="1" applyAlignment="1">
      <alignment vertical="center" wrapText="1"/>
    </xf>
    <xf numFmtId="0" fontId="15" fillId="0" borderId="0" xfId="0" applyFont="1" applyBorder="1" applyAlignment="1">
      <alignment wrapText="1"/>
    </xf>
    <xf numFmtId="0" fontId="1" fillId="0" borderId="0" xfId="0" applyFont="1" applyBorder="1" applyAlignment="1">
      <alignment wrapText="1"/>
    </xf>
    <xf numFmtId="0" fontId="8" fillId="0" borderId="0" xfId="0" applyFont="1" applyAlignment="1">
      <alignment horizontal="center" vertical="top"/>
    </xf>
    <xf numFmtId="0" fontId="15" fillId="0" borderId="0" xfId="0" applyFont="1" applyBorder="1" applyAlignment="1">
      <alignment horizontal="left" wrapText="1"/>
    </xf>
    <xf numFmtId="0" fontId="0" fillId="0" borderId="0" xfId="0" applyAlignment="1">
      <alignment horizontal="center" vertical="top" wrapText="1"/>
    </xf>
    <xf numFmtId="0" fontId="0" fillId="0" borderId="0" xfId="0" applyBorder="1" applyAlignment="1">
      <alignment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2" xfId="61"/>
    <cellStyle name="Normal 2 2" xfId="62"/>
    <cellStyle name="Normal 3" xfId="63"/>
    <cellStyle name="Normal 3 2" xfId="64"/>
    <cellStyle name="Normal 4" xfId="65"/>
    <cellStyle name="Normal 4 2" xfId="66"/>
    <cellStyle name="Normal 5" xfId="67"/>
    <cellStyle name="Normal 5 2" xfId="68"/>
    <cellStyle name="Normal 6" xfId="69"/>
    <cellStyle name="Normal 7" xfId="70"/>
    <cellStyle name="Normal 8" xfId="71"/>
    <cellStyle name="Normal 9" xfId="72"/>
    <cellStyle name="Normál_t6" xfId="73"/>
    <cellStyle name="Note" xfId="74"/>
    <cellStyle name="Output" xfId="75"/>
    <cellStyle name="Percent" xfId="76"/>
    <cellStyle name="Standard_E00seit45" xfId="77"/>
    <cellStyle name="Title" xfId="78"/>
    <cellStyle name="Titre ligne" xfId="79"/>
    <cellStyle name="Total" xfId="80"/>
    <cellStyle name="Total intermediaire"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c.europa.eu/transport/facts-fundings/statistics/doc/2015/pb2015-section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c.europa.eu/transport/facts-fundings/statistics/doc/2015/pb2015-section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2.2"/>
      <sheetName val="freight_graph"/>
      <sheetName val="perf_mode_tkm"/>
      <sheetName val="perf_land _tkm"/>
      <sheetName val="road_by_nat"/>
      <sheetName val="road_by_int"/>
      <sheetName val="road_by_tot"/>
      <sheetName val="rail_tkm"/>
      <sheetName val="iww"/>
      <sheetName val="pipeline"/>
      <sheetName val="usa_goods"/>
    </sheetNames>
    <sheetDataSet>
      <sheetData sheetId="4">
        <row r="42">
          <cell r="T42">
            <v>216.123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2.5"/>
      <sheetName val="motorway"/>
      <sheetName val="rail_gauge"/>
      <sheetName val="length_road"/>
      <sheetName val="rail_length"/>
      <sheetName val="rail_hs"/>
      <sheetName val="airports"/>
      <sheetName val="length_iww"/>
      <sheetName val="length_oil"/>
    </sheetNames>
    <sheetDataSet>
      <sheetData sheetId="1">
        <row r="9">
          <cell r="AA9">
            <v>1763</v>
          </cell>
        </row>
        <row r="10">
          <cell r="AA10">
            <v>541</v>
          </cell>
        </row>
        <row r="11">
          <cell r="AA11">
            <v>751</v>
          </cell>
        </row>
        <row r="12">
          <cell r="AA12">
            <v>1195</v>
          </cell>
        </row>
        <row r="13">
          <cell r="AA13">
            <v>12879</v>
          </cell>
        </row>
        <row r="14">
          <cell r="AA14">
            <v>124</v>
          </cell>
        </row>
        <row r="15">
          <cell r="AA15">
            <v>900</v>
          </cell>
        </row>
        <row r="16">
          <cell r="AA16">
            <v>1658.5</v>
          </cell>
        </row>
        <row r="17">
          <cell r="AA17">
            <v>14701</v>
          </cell>
        </row>
        <row r="18">
          <cell r="AA18">
            <v>11465</v>
          </cell>
        </row>
        <row r="19">
          <cell r="AA19">
            <v>1254</v>
          </cell>
        </row>
        <row r="20">
          <cell r="AA20">
            <v>6726</v>
          </cell>
        </row>
        <row r="21">
          <cell r="AA21">
            <v>257</v>
          </cell>
        </row>
        <row r="22">
          <cell r="AA22" t="str">
            <v>-</v>
          </cell>
        </row>
        <row r="23">
          <cell r="AA23">
            <v>309</v>
          </cell>
        </row>
        <row r="24">
          <cell r="AA24">
            <v>152</v>
          </cell>
        </row>
        <row r="25">
          <cell r="AA25">
            <v>1515.1</v>
          </cell>
        </row>
        <row r="26">
          <cell r="AA26" t="str">
            <v>-</v>
          </cell>
        </row>
        <row r="27">
          <cell r="AA27">
            <v>2666</v>
          </cell>
        </row>
        <row r="28">
          <cell r="AA28">
            <v>1719</v>
          </cell>
        </row>
        <row r="29">
          <cell r="AA29">
            <v>1365</v>
          </cell>
        </row>
        <row r="30">
          <cell r="AA30">
            <v>2988</v>
          </cell>
        </row>
        <row r="31">
          <cell r="AA31">
            <v>550</v>
          </cell>
        </row>
        <row r="32">
          <cell r="AA32">
            <v>769</v>
          </cell>
        </row>
        <row r="33">
          <cell r="AA33">
            <v>419.2</v>
          </cell>
        </row>
        <row r="34">
          <cell r="AA34">
            <v>810</v>
          </cell>
        </row>
        <row r="35">
          <cell r="AA35">
            <v>2013</v>
          </cell>
        </row>
        <row r="36">
          <cell r="AA36">
            <v>3756.02</v>
          </cell>
        </row>
        <row r="38">
          <cell r="AA38" t="str">
            <v>-</v>
          </cell>
        </row>
        <row r="39">
          <cell r="AA39">
            <v>259</v>
          </cell>
        </row>
        <row r="40">
          <cell r="AA40">
            <v>603</v>
          </cell>
        </row>
        <row r="41">
          <cell r="AA41">
            <v>2127</v>
          </cell>
        </row>
        <row r="42">
          <cell r="AA42">
            <v>11</v>
          </cell>
        </row>
        <row r="43">
          <cell r="AA43">
            <v>392</v>
          </cell>
        </row>
        <row r="44">
          <cell r="AA44">
            <v>1419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93"/>
  <sheetViews>
    <sheetView tabSelected="1" zoomScale="55" zoomScaleNormal="55" zoomScalePageLayoutView="0" workbookViewId="0" topLeftCell="A4">
      <pane xSplit="10" ySplit="5" topLeftCell="K9" activePane="bottomRight" state="frozen"/>
      <selection pane="topLeft" activeCell="A4" sqref="A4"/>
      <selection pane="topRight" activeCell="K4" sqref="K4"/>
      <selection pane="bottomLeft" activeCell="A10" sqref="A10"/>
      <selection pane="bottomRight" activeCell="C5" sqref="C5"/>
    </sheetView>
  </sheetViews>
  <sheetFormatPr defaultColWidth="9.140625" defaultRowHeight="12.75"/>
  <cols>
    <col min="1" max="1" width="2.28125" style="2" customWidth="1"/>
    <col min="2" max="2" width="1.28515625" style="2" customWidth="1"/>
    <col min="3" max="3" width="20.00390625" style="2" customWidth="1"/>
    <col min="4" max="4" width="0.71875" style="2" customWidth="1"/>
    <col min="5" max="5" width="9.57421875" style="2" customWidth="1"/>
    <col min="6" max="6" width="0.85546875" style="2" customWidth="1"/>
    <col min="7" max="7" width="12.421875" style="2" customWidth="1"/>
    <col min="8" max="8" width="0.5625" style="2" customWidth="1"/>
    <col min="9" max="9" width="9.8515625" style="2" customWidth="1"/>
    <col min="10" max="10" width="2.28125" style="2" customWidth="1"/>
    <col min="11" max="11" width="9.7109375" style="4" customWidth="1"/>
    <col min="12" max="12" width="0.85546875" style="2" customWidth="1"/>
    <col min="13" max="13" width="10.140625" style="2" customWidth="1"/>
    <col min="14" max="14" width="9.140625" style="2" customWidth="1"/>
    <col min="15" max="15" width="8.57421875" style="2" customWidth="1"/>
    <col min="16" max="16" width="9.00390625" style="2" customWidth="1"/>
    <col min="17" max="17" width="8.28125" style="2" customWidth="1"/>
    <col min="18" max="18" width="10.7109375" style="2" customWidth="1"/>
    <col min="19" max="19" width="11.421875" style="2" customWidth="1"/>
    <col min="20" max="21" width="8.28125" style="2" customWidth="1"/>
    <col min="22" max="22" width="9.28125" style="2" customWidth="1"/>
    <col min="23" max="25" width="10.7109375" style="2" customWidth="1"/>
    <col min="26" max="26" width="8.28125" style="2" customWidth="1"/>
    <col min="27" max="27" width="11.8515625" style="2" customWidth="1"/>
    <col min="28" max="28" width="11.140625" style="2" customWidth="1"/>
    <col min="29" max="29" width="10.421875" style="2" customWidth="1"/>
    <col min="30" max="30" width="11.00390625" style="2" customWidth="1"/>
    <col min="31" max="36" width="8.28125" style="2" customWidth="1"/>
    <col min="37" max="37" width="11.00390625" style="2" customWidth="1"/>
    <col min="38" max="38" width="10.00390625" style="2" customWidth="1"/>
    <col min="39" max="39" width="8.28125" style="2" customWidth="1"/>
    <col min="40" max="40" width="12.28125" style="2" customWidth="1"/>
    <col min="41" max="41" width="2.8515625" style="2" customWidth="1"/>
    <col min="42" max="42" width="13.140625" style="2" customWidth="1"/>
    <col min="43" max="43" width="13.28125" style="2" customWidth="1"/>
    <col min="44" max="45" width="2.00390625" style="2" customWidth="1"/>
    <col min="46" max="46" width="9.28125" style="2" customWidth="1"/>
    <col min="47" max="47" width="10.00390625" style="2" customWidth="1"/>
    <col min="48" max="48" width="11.421875" style="2" customWidth="1"/>
    <col min="49" max="49" width="1.28515625" style="2" customWidth="1"/>
    <col min="50" max="50" width="0" style="2" hidden="1" customWidth="1"/>
    <col min="51" max="51" width="3.8515625" style="2" customWidth="1"/>
    <col min="52" max="52" width="32.00390625" style="2" customWidth="1"/>
    <col min="53" max="16384" width="9.140625" style="2" customWidth="1"/>
  </cols>
  <sheetData>
    <row r="1" spans="1:2" ht="18">
      <c r="A1" s="66" t="s">
        <v>126</v>
      </c>
      <c r="B1" s="65"/>
    </row>
    <row r="2" spans="1:50" ht="13.5" customHeight="1">
      <c r="A2" s="3"/>
      <c r="AX2" s="3" t="s">
        <v>56</v>
      </c>
    </row>
    <row r="3" spans="1:50" ht="18" customHeight="1">
      <c r="A3" s="3"/>
      <c r="E3" s="6"/>
      <c r="F3" s="6"/>
      <c r="G3" s="6"/>
      <c r="H3" s="6"/>
      <c r="I3" s="6"/>
      <c r="J3" s="6"/>
      <c r="K3" s="67"/>
      <c r="M3" s="5" t="s">
        <v>95</v>
      </c>
      <c r="N3" s="5"/>
      <c r="O3" s="5"/>
      <c r="P3" s="6"/>
      <c r="Q3" s="6" t="s">
        <v>236</v>
      </c>
      <c r="R3" s="6"/>
      <c r="S3" s="6"/>
      <c r="T3" s="6"/>
      <c r="U3" s="6"/>
      <c r="V3" s="6"/>
      <c r="W3" s="6"/>
      <c r="X3" s="6"/>
      <c r="Y3" s="6"/>
      <c r="Z3" s="6"/>
      <c r="AA3" s="6"/>
      <c r="AB3" s="6"/>
      <c r="AC3" s="6"/>
      <c r="AD3" s="6"/>
      <c r="AE3" s="6"/>
      <c r="AF3" s="6"/>
      <c r="AG3" s="6"/>
      <c r="AH3" s="6"/>
      <c r="AI3" s="6"/>
      <c r="AJ3" s="6"/>
      <c r="AK3" s="6"/>
      <c r="AL3" s="6"/>
      <c r="AM3" s="6"/>
      <c r="AN3" s="6"/>
      <c r="AO3" s="6"/>
      <c r="AP3" s="6"/>
      <c r="AQ3" s="6"/>
      <c r="AT3" s="1054" t="s">
        <v>122</v>
      </c>
      <c r="AU3" s="1055"/>
      <c r="AV3" s="1055"/>
      <c r="AX3" s="3" t="s">
        <v>57</v>
      </c>
    </row>
    <row r="4" spans="9:42" ht="15">
      <c r="I4" s="7"/>
      <c r="M4" s="7"/>
      <c r="O4" s="7"/>
      <c r="Q4" s="7"/>
      <c r="S4" s="7"/>
      <c r="U4" s="7"/>
      <c r="W4" s="7"/>
      <c r="Y4" s="7"/>
      <c r="Z4" s="7"/>
      <c r="AB4" s="7"/>
      <c r="AD4" s="7"/>
      <c r="AF4" s="7"/>
      <c r="AH4" s="7"/>
      <c r="AJ4" s="7"/>
      <c r="AL4" s="7"/>
      <c r="AN4" s="7"/>
      <c r="AP4" s="7"/>
    </row>
    <row r="5" spans="5:50" ht="105.75" customHeight="1">
      <c r="E5" s="8" t="s">
        <v>118</v>
      </c>
      <c r="F5" s="8"/>
      <c r="G5" s="8" t="s">
        <v>119</v>
      </c>
      <c r="I5" s="39" t="s">
        <v>59</v>
      </c>
      <c r="J5" s="9"/>
      <c r="K5" s="10" t="s">
        <v>120</v>
      </c>
      <c r="M5" s="45" t="s">
        <v>10</v>
      </c>
      <c r="N5" s="11" t="s">
        <v>1</v>
      </c>
      <c r="O5" s="45" t="s">
        <v>103</v>
      </c>
      <c r="P5" s="11" t="s">
        <v>70</v>
      </c>
      <c r="Q5" s="45" t="s">
        <v>62</v>
      </c>
      <c r="R5" s="11" t="s">
        <v>3</v>
      </c>
      <c r="S5" s="45" t="s">
        <v>2</v>
      </c>
      <c r="T5" s="11" t="s">
        <v>65</v>
      </c>
      <c r="U5" s="45" t="s">
        <v>121</v>
      </c>
      <c r="V5" s="11" t="s">
        <v>4</v>
      </c>
      <c r="W5" s="45" t="s">
        <v>27</v>
      </c>
      <c r="X5" s="11" t="s">
        <v>5</v>
      </c>
      <c r="Y5" s="45" t="s">
        <v>165</v>
      </c>
      <c r="Z5" s="45" t="s">
        <v>79</v>
      </c>
      <c r="AA5" s="11" t="s">
        <v>6</v>
      </c>
      <c r="AB5" s="45" t="s">
        <v>7</v>
      </c>
      <c r="AC5" s="11" t="s">
        <v>75</v>
      </c>
      <c r="AD5" s="45" t="s">
        <v>8</v>
      </c>
      <c r="AE5" s="11" t="s">
        <v>74</v>
      </c>
      <c r="AF5" s="45" t="s">
        <v>123</v>
      </c>
      <c r="AG5" s="11" t="s">
        <v>9</v>
      </c>
      <c r="AH5" s="45" t="s">
        <v>82</v>
      </c>
      <c r="AI5" s="11" t="s">
        <v>11</v>
      </c>
      <c r="AJ5" s="45" t="s">
        <v>104</v>
      </c>
      <c r="AK5" s="11" t="s">
        <v>12</v>
      </c>
      <c r="AL5" s="45" t="s">
        <v>84</v>
      </c>
      <c r="AM5" s="11" t="s">
        <v>86</v>
      </c>
      <c r="AN5" s="45" t="s">
        <v>13</v>
      </c>
      <c r="AO5" s="11"/>
      <c r="AP5" s="45" t="s">
        <v>285</v>
      </c>
      <c r="AQ5" s="11" t="s">
        <v>115</v>
      </c>
      <c r="AR5" s="9"/>
      <c r="AS5" s="9"/>
      <c r="AT5" s="11" t="s">
        <v>53</v>
      </c>
      <c r="AU5" s="11" t="s">
        <v>54</v>
      </c>
      <c r="AV5" s="11" t="s">
        <v>55</v>
      </c>
      <c r="AX5" s="9" t="s">
        <v>48</v>
      </c>
    </row>
    <row r="6" spans="9:48" ht="6" customHeight="1">
      <c r="I6" s="7"/>
      <c r="K6" s="9"/>
      <c r="M6" s="45"/>
      <c r="N6" s="11"/>
      <c r="O6" s="45"/>
      <c r="P6" s="11"/>
      <c r="Q6" s="45"/>
      <c r="R6" s="11"/>
      <c r="S6" s="45"/>
      <c r="T6" s="11"/>
      <c r="U6" s="45"/>
      <c r="V6" s="11"/>
      <c r="W6" s="45"/>
      <c r="X6" s="11"/>
      <c r="Y6" s="45"/>
      <c r="Z6" s="45"/>
      <c r="AA6" s="11"/>
      <c r="AB6" s="45"/>
      <c r="AC6" s="11"/>
      <c r="AD6" s="45"/>
      <c r="AE6" s="11"/>
      <c r="AF6" s="45"/>
      <c r="AG6" s="11"/>
      <c r="AH6" s="45"/>
      <c r="AI6" s="11"/>
      <c r="AJ6" s="45"/>
      <c r="AK6" s="11"/>
      <c r="AL6" s="45"/>
      <c r="AM6" s="11"/>
      <c r="AN6" s="57"/>
      <c r="AO6" s="10"/>
      <c r="AP6" s="45"/>
      <c r="AQ6" s="11"/>
      <c r="AR6" s="9"/>
      <c r="AS6" s="9"/>
      <c r="AT6" s="9"/>
      <c r="AU6" s="9"/>
      <c r="AV6" s="9"/>
    </row>
    <row r="7" spans="1:48" s="12" customFormat="1" ht="43.5" customHeight="1">
      <c r="A7" s="33"/>
      <c r="B7" s="33"/>
      <c r="C7" s="33"/>
      <c r="D7" s="33"/>
      <c r="E7" s="33"/>
      <c r="F7" s="33"/>
      <c r="G7" s="33"/>
      <c r="H7" s="33"/>
      <c r="I7" s="40"/>
      <c r="J7" s="33"/>
      <c r="K7" s="34" t="s">
        <v>58</v>
      </c>
      <c r="L7" s="34"/>
      <c r="M7" s="46" t="s">
        <v>81</v>
      </c>
      <c r="N7" s="34" t="s">
        <v>60</v>
      </c>
      <c r="O7" s="46" t="s">
        <v>101</v>
      </c>
      <c r="P7" s="34" t="s">
        <v>71</v>
      </c>
      <c r="Q7" s="46" t="s">
        <v>61</v>
      </c>
      <c r="R7" s="34" t="s">
        <v>63</v>
      </c>
      <c r="S7" s="46" t="s">
        <v>14</v>
      </c>
      <c r="T7" s="34" t="s">
        <v>64</v>
      </c>
      <c r="U7" s="46" t="s">
        <v>15</v>
      </c>
      <c r="V7" s="34" t="s">
        <v>66</v>
      </c>
      <c r="W7" s="46" t="s">
        <v>87</v>
      </c>
      <c r="X7" s="34" t="s">
        <v>67</v>
      </c>
      <c r="Y7" s="46" t="s">
        <v>148</v>
      </c>
      <c r="Z7" s="46" t="s">
        <v>77</v>
      </c>
      <c r="AA7" s="34" t="s">
        <v>68</v>
      </c>
      <c r="AB7" s="46" t="s">
        <v>69</v>
      </c>
      <c r="AC7" s="34" t="s">
        <v>73</v>
      </c>
      <c r="AD7" s="46" t="s">
        <v>76</v>
      </c>
      <c r="AE7" s="34" t="s">
        <v>72</v>
      </c>
      <c r="AF7" s="46" t="s">
        <v>78</v>
      </c>
      <c r="AG7" s="34" t="s">
        <v>16</v>
      </c>
      <c r="AH7" s="46" t="s">
        <v>80</v>
      </c>
      <c r="AI7" s="34" t="s">
        <v>92</v>
      </c>
      <c r="AJ7" s="46" t="s">
        <v>102</v>
      </c>
      <c r="AK7" s="34" t="s">
        <v>88</v>
      </c>
      <c r="AL7" s="46" t="s">
        <v>83</v>
      </c>
      <c r="AM7" s="34" t="s">
        <v>85</v>
      </c>
      <c r="AN7" s="46" t="s">
        <v>13</v>
      </c>
      <c r="AO7" s="34"/>
      <c r="AP7" s="46" t="s">
        <v>260</v>
      </c>
      <c r="AQ7" s="34" t="s">
        <v>89</v>
      </c>
      <c r="AR7" s="34"/>
      <c r="AS7" s="34"/>
      <c r="AT7" s="34" t="s">
        <v>58</v>
      </c>
      <c r="AU7" s="34" t="s">
        <v>50</v>
      </c>
      <c r="AV7" s="34" t="s">
        <v>13</v>
      </c>
    </row>
    <row r="8" spans="9:42" s="13" customFormat="1" ht="6" customHeight="1">
      <c r="I8" s="41"/>
      <c r="M8" s="41"/>
      <c r="O8" s="41"/>
      <c r="Q8" s="41"/>
      <c r="S8" s="41"/>
      <c r="U8" s="41"/>
      <c r="W8" s="41"/>
      <c r="Y8" s="41"/>
      <c r="Z8" s="41"/>
      <c r="AB8" s="41"/>
      <c r="AD8" s="41"/>
      <c r="AF8" s="41"/>
      <c r="AH8" s="41"/>
      <c r="AJ8" s="41"/>
      <c r="AL8" s="41"/>
      <c r="AN8" s="41"/>
      <c r="AP8" s="41"/>
    </row>
    <row r="9" spans="1:42" ht="15" customHeight="1">
      <c r="A9" s="32" t="s">
        <v>28</v>
      </c>
      <c r="I9" s="7"/>
      <c r="M9" s="7"/>
      <c r="O9" s="7"/>
      <c r="Q9" s="7"/>
      <c r="S9" s="7"/>
      <c r="U9" s="7"/>
      <c r="W9" s="7"/>
      <c r="Y9" s="7"/>
      <c r="Z9" s="7"/>
      <c r="AB9" s="7"/>
      <c r="AD9" s="7"/>
      <c r="AF9" s="7"/>
      <c r="AH9" s="7"/>
      <c r="AJ9" s="7"/>
      <c r="AL9" s="7"/>
      <c r="AN9" s="7"/>
      <c r="AP9" s="7"/>
    </row>
    <row r="10" spans="2:42" s="14" customFormat="1" ht="15.75">
      <c r="B10" s="1" t="s">
        <v>107</v>
      </c>
      <c r="I10" s="42"/>
      <c r="K10" s="15"/>
      <c r="M10" s="42"/>
      <c r="O10" s="42"/>
      <c r="Q10" s="42"/>
      <c r="S10" s="42"/>
      <c r="U10" s="42"/>
      <c r="W10" s="42"/>
      <c r="Y10" s="42"/>
      <c r="Z10" s="42"/>
      <c r="AB10" s="42"/>
      <c r="AD10" s="42"/>
      <c r="AF10" s="42"/>
      <c r="AH10" s="42"/>
      <c r="AJ10" s="42"/>
      <c r="AL10" s="42"/>
      <c r="AN10" s="42"/>
      <c r="AP10" s="58"/>
    </row>
    <row r="11" spans="3:53" s="14" customFormat="1" ht="15">
      <c r="C11" s="14" t="s">
        <v>0</v>
      </c>
      <c r="E11" s="16">
        <v>2014</v>
      </c>
      <c r="F11" s="16"/>
      <c r="G11" s="16"/>
      <c r="I11" s="43" t="s">
        <v>97</v>
      </c>
      <c r="K11" s="17">
        <v>5.3476</v>
      </c>
      <c r="M11" s="82">
        <v>8.507786</v>
      </c>
      <c r="N11" s="18">
        <v>11.203992</v>
      </c>
      <c r="O11" s="47">
        <v>7.245677</v>
      </c>
      <c r="P11" s="18">
        <v>0.858</v>
      </c>
      <c r="Q11" s="47">
        <v>10.512419</v>
      </c>
      <c r="R11" s="18">
        <v>80.78</v>
      </c>
      <c r="S11" s="47">
        <v>5.627235</v>
      </c>
      <c r="T11" s="18">
        <v>1.315819</v>
      </c>
      <c r="U11" s="47">
        <v>10.992589</v>
      </c>
      <c r="V11" s="18">
        <v>46.50776</v>
      </c>
      <c r="W11" s="47">
        <v>5.45127</v>
      </c>
      <c r="X11" s="18">
        <v>63.928608</v>
      </c>
      <c r="Y11" s="47">
        <v>4.2467</v>
      </c>
      <c r="Z11" s="47">
        <v>9.879</v>
      </c>
      <c r="AA11" s="18">
        <v>4.604029</v>
      </c>
      <c r="AB11" s="47">
        <v>60.782668</v>
      </c>
      <c r="AC11" s="18">
        <v>2.943472</v>
      </c>
      <c r="AD11" s="47">
        <v>0.54968</v>
      </c>
      <c r="AE11" s="18">
        <v>2.001468</v>
      </c>
      <c r="AF11" s="47">
        <v>0.425384</v>
      </c>
      <c r="AG11" s="18">
        <v>16.829289</v>
      </c>
      <c r="AH11" s="47">
        <v>38.495659</v>
      </c>
      <c r="AI11" s="18">
        <v>10.427301</v>
      </c>
      <c r="AJ11" s="47">
        <v>19.942642</v>
      </c>
      <c r="AK11" s="18">
        <v>9.644864</v>
      </c>
      <c r="AL11" s="47">
        <v>2.061085</v>
      </c>
      <c r="AM11" s="18">
        <v>5.415949</v>
      </c>
      <c r="AN11" s="47">
        <v>64.308261</v>
      </c>
      <c r="AO11" s="19"/>
      <c r="AP11" s="52">
        <v>505.48860600000006</v>
      </c>
      <c r="AQ11" s="17">
        <v>400.14533200000005</v>
      </c>
      <c r="AT11" s="17">
        <f>K11</f>
        <v>5.3476</v>
      </c>
      <c r="AU11" s="105">
        <v>62.756254</v>
      </c>
      <c r="AV11" s="554">
        <v>64.596752</v>
      </c>
      <c r="AX11" s="20">
        <v>-103.28693499999997</v>
      </c>
      <c r="BA11" s="14">
        <f>RANK(K11,K11:AN11,1)</f>
        <v>10</v>
      </c>
    </row>
    <row r="12" spans="9:47" s="14" customFormat="1" ht="6" customHeight="1">
      <c r="I12" s="42"/>
      <c r="K12" s="15"/>
      <c r="M12" s="76"/>
      <c r="O12" s="42"/>
      <c r="Q12" s="42"/>
      <c r="S12" s="42"/>
      <c r="U12" s="42"/>
      <c r="W12" s="42"/>
      <c r="Y12" s="42"/>
      <c r="Z12" s="42"/>
      <c r="AB12" s="42"/>
      <c r="AD12" s="42"/>
      <c r="AF12" s="42"/>
      <c r="AH12" s="42"/>
      <c r="AJ12" s="42"/>
      <c r="AL12" s="42"/>
      <c r="AN12" s="42"/>
      <c r="AP12" s="42"/>
      <c r="AT12" s="22"/>
      <c r="AU12" s="15"/>
    </row>
    <row r="13" spans="2:47" s="14" customFormat="1" ht="15.75">
      <c r="B13" s="1" t="s">
        <v>17</v>
      </c>
      <c r="I13" s="42"/>
      <c r="K13" s="15"/>
      <c r="L13" s="21"/>
      <c r="M13" s="76"/>
      <c r="O13" s="42"/>
      <c r="Q13" s="42"/>
      <c r="S13" s="42"/>
      <c r="U13" s="42"/>
      <c r="W13" s="42"/>
      <c r="Y13" s="42"/>
      <c r="Z13" s="42"/>
      <c r="AB13" s="42"/>
      <c r="AD13" s="42"/>
      <c r="AF13" s="42"/>
      <c r="AH13" s="42"/>
      <c r="AJ13" s="42"/>
      <c r="AL13" s="42"/>
      <c r="AN13" s="42"/>
      <c r="AP13" s="42"/>
      <c r="AT13" s="22"/>
      <c r="AU13" s="15"/>
    </row>
    <row r="14" spans="3:50" s="14" customFormat="1" ht="15">
      <c r="C14" s="21" t="s">
        <v>18</v>
      </c>
      <c r="D14" s="21"/>
      <c r="E14" s="21"/>
      <c r="F14" s="21"/>
      <c r="G14" s="21"/>
      <c r="H14" s="21"/>
      <c r="I14" s="43" t="s">
        <v>97</v>
      </c>
      <c r="J14" s="21"/>
      <c r="K14" s="22">
        <v>77.958</v>
      </c>
      <c r="L14" s="21"/>
      <c r="M14" s="83">
        <v>83.879</v>
      </c>
      <c r="N14" s="23">
        <v>30.528</v>
      </c>
      <c r="O14" s="48">
        <v>111.002</v>
      </c>
      <c r="P14" s="23">
        <v>9.25</v>
      </c>
      <c r="Q14" s="48">
        <v>78.868</v>
      </c>
      <c r="R14" s="23">
        <v>357.104</v>
      </c>
      <c r="S14" s="48">
        <v>43.098</v>
      </c>
      <c r="T14" s="23">
        <v>45.227</v>
      </c>
      <c r="U14" s="48">
        <v>131.957</v>
      </c>
      <c r="V14" s="23">
        <v>505.997</v>
      </c>
      <c r="W14" s="48">
        <v>338.419</v>
      </c>
      <c r="X14" s="23">
        <v>543.965</v>
      </c>
      <c r="Y14" s="48">
        <v>56.594</v>
      </c>
      <c r="Z14" s="48">
        <v>93.03</v>
      </c>
      <c r="AA14" s="23">
        <v>70.282</v>
      </c>
      <c r="AB14" s="48">
        <v>301.336</v>
      </c>
      <c r="AC14" s="23">
        <v>65.3</v>
      </c>
      <c r="AD14" s="48">
        <v>2.586</v>
      </c>
      <c r="AE14" s="23">
        <v>64.559</v>
      </c>
      <c r="AF14" s="48">
        <v>0.316</v>
      </c>
      <c r="AG14" s="23">
        <v>41.526</v>
      </c>
      <c r="AH14" s="42">
        <v>312.685</v>
      </c>
      <c r="AI14" s="23">
        <v>92.09</v>
      </c>
      <c r="AJ14" s="48">
        <v>238.391</v>
      </c>
      <c r="AK14" s="23">
        <v>450.295</v>
      </c>
      <c r="AL14" s="48">
        <v>20.273</v>
      </c>
      <c r="AM14" s="23">
        <v>49.035</v>
      </c>
      <c r="AN14" s="48">
        <v>243.82</v>
      </c>
      <c r="AO14" s="20"/>
      <c r="AP14" s="58">
        <v>4381.411999999999</v>
      </c>
      <c r="AQ14" s="22">
        <v>3236.8820000000005</v>
      </c>
      <c r="AT14" s="22">
        <v>77.958</v>
      </c>
      <c r="AU14" s="22">
        <v>228.972</v>
      </c>
      <c r="AV14" s="380">
        <v>243.82</v>
      </c>
      <c r="AX14" s="20">
        <v>-1087.9990000000003</v>
      </c>
    </row>
    <row r="15" spans="9:47" s="14" customFormat="1" ht="6" customHeight="1">
      <c r="I15" s="42"/>
      <c r="K15" s="15"/>
      <c r="M15" s="76"/>
      <c r="O15" s="42"/>
      <c r="Q15" s="42"/>
      <c r="S15" s="42"/>
      <c r="U15" s="42"/>
      <c r="W15" s="42"/>
      <c r="Y15" s="42"/>
      <c r="Z15" s="42"/>
      <c r="AB15" s="42"/>
      <c r="AD15" s="42"/>
      <c r="AF15" s="42"/>
      <c r="AH15" s="42"/>
      <c r="AJ15" s="42"/>
      <c r="AL15" s="42"/>
      <c r="AN15" s="42"/>
      <c r="AP15" s="42"/>
      <c r="AU15" s="15"/>
    </row>
    <row r="16" spans="2:47" s="14" customFormat="1" ht="15.75">
      <c r="B16" s="1" t="s">
        <v>108</v>
      </c>
      <c r="I16" s="42"/>
      <c r="K16" s="15"/>
      <c r="M16" s="76"/>
      <c r="O16" s="42"/>
      <c r="Q16" s="42"/>
      <c r="S16" s="42"/>
      <c r="U16" s="42"/>
      <c r="W16" s="42"/>
      <c r="Y16" s="42"/>
      <c r="Z16" s="42"/>
      <c r="AB16" s="42"/>
      <c r="AD16" s="42"/>
      <c r="AF16" s="42"/>
      <c r="AH16" s="42"/>
      <c r="AJ16" s="42"/>
      <c r="AL16" s="42"/>
      <c r="AN16" s="42"/>
      <c r="AP16" s="42"/>
      <c r="AU16" s="15"/>
    </row>
    <row r="17" spans="3:53" s="14" customFormat="1" ht="15">
      <c r="C17" s="14" t="s">
        <v>19</v>
      </c>
      <c r="E17" s="14">
        <v>2014</v>
      </c>
      <c r="I17" s="44" t="s">
        <v>26</v>
      </c>
      <c r="K17" s="36">
        <f aca="true" t="shared" si="0" ref="K17:AN17">1000*K11/K14</f>
        <v>68.5959106185382</v>
      </c>
      <c r="M17" s="74">
        <f t="shared" si="0"/>
        <v>101.42927311961277</v>
      </c>
      <c r="N17" s="24">
        <f t="shared" si="0"/>
        <v>367.00707547169816</v>
      </c>
      <c r="O17" s="49">
        <f t="shared" si="0"/>
        <v>65.27519323976145</v>
      </c>
      <c r="P17" s="24">
        <f t="shared" si="0"/>
        <v>92.75675675675676</v>
      </c>
      <c r="Q17" s="49">
        <f t="shared" si="0"/>
        <v>133.29130952984735</v>
      </c>
      <c r="R17" s="24">
        <f t="shared" si="0"/>
        <v>226.20861149693087</v>
      </c>
      <c r="S17" s="49">
        <f t="shared" si="0"/>
        <v>130.56835584017819</v>
      </c>
      <c r="T17" s="24">
        <f t="shared" si="0"/>
        <v>29.093660866296684</v>
      </c>
      <c r="U17" s="49">
        <f t="shared" si="0"/>
        <v>83.30432640936063</v>
      </c>
      <c r="V17" s="24">
        <f t="shared" si="0"/>
        <v>91.91311410937217</v>
      </c>
      <c r="W17" s="49">
        <f t="shared" si="0"/>
        <v>16.108049488947135</v>
      </c>
      <c r="X17" s="24">
        <f t="shared" si="0"/>
        <v>117.52338477659407</v>
      </c>
      <c r="Y17" s="49">
        <f>1000*Y11/Y14</f>
        <v>75.0379898929215</v>
      </c>
      <c r="Z17" s="49">
        <f t="shared" si="0"/>
        <v>106.19155111254435</v>
      </c>
      <c r="AA17" s="24">
        <f t="shared" si="0"/>
        <v>65.50793944395436</v>
      </c>
      <c r="AB17" s="49">
        <f t="shared" si="0"/>
        <v>201.7106087556747</v>
      </c>
      <c r="AC17" s="24">
        <f t="shared" si="0"/>
        <v>45.076140888208265</v>
      </c>
      <c r="AD17" s="51">
        <f t="shared" si="0"/>
        <v>212.5599381283836</v>
      </c>
      <c r="AE17" s="24">
        <f t="shared" si="0"/>
        <v>31.002153069285463</v>
      </c>
      <c r="AF17" s="49">
        <f t="shared" si="0"/>
        <v>1346.1518987341772</v>
      </c>
      <c r="AG17" s="24">
        <f t="shared" si="0"/>
        <v>405.2711313394018</v>
      </c>
      <c r="AH17" s="49">
        <f t="shared" si="0"/>
        <v>123.11322577034397</v>
      </c>
      <c r="AI17" s="24">
        <f t="shared" si="0"/>
        <v>113.22946031056574</v>
      </c>
      <c r="AJ17" s="49">
        <f t="shared" si="0"/>
        <v>83.65517993548414</v>
      </c>
      <c r="AK17" s="24">
        <f t="shared" si="0"/>
        <v>21.41898977337079</v>
      </c>
      <c r="AL17" s="49">
        <f t="shared" si="0"/>
        <v>101.66650224436442</v>
      </c>
      <c r="AM17" s="24">
        <f t="shared" si="0"/>
        <v>110.45067808708068</v>
      </c>
      <c r="AN17" s="49">
        <f t="shared" si="0"/>
        <v>263.7530186202937</v>
      </c>
      <c r="AO17" s="24"/>
      <c r="AP17" s="49">
        <f>1000*AP11/AP14</f>
        <v>115.37116482083862</v>
      </c>
      <c r="AQ17" s="24">
        <f>1000*AQ11/AQ14</f>
        <v>123.62061144026875</v>
      </c>
      <c r="AT17" s="24">
        <f>(AT11/AT14)*1000</f>
        <v>68.59591061853818</v>
      </c>
      <c r="AU17" s="36">
        <f>(AU11/AU14)*1000</f>
        <v>274.0782890484426</v>
      </c>
      <c r="AV17" s="24">
        <v>254.1604626483823</v>
      </c>
      <c r="BA17" s="14">
        <f>RANK(K17,K17:AN17,1)</f>
        <v>8</v>
      </c>
    </row>
    <row r="18" spans="9:42" s="14" customFormat="1" ht="6" customHeight="1">
      <c r="I18" s="42"/>
      <c r="K18" s="15"/>
      <c r="M18" s="76"/>
      <c r="O18" s="42"/>
      <c r="Q18" s="42"/>
      <c r="S18" s="42"/>
      <c r="U18" s="42"/>
      <c r="W18" s="42"/>
      <c r="Y18" s="42"/>
      <c r="Z18" s="42"/>
      <c r="AB18" s="42"/>
      <c r="AD18" s="42"/>
      <c r="AF18" s="42"/>
      <c r="AH18" s="42"/>
      <c r="AJ18" s="42"/>
      <c r="AL18" s="42"/>
      <c r="AN18" s="42"/>
      <c r="AP18" s="42"/>
    </row>
    <row r="19" spans="1:42" s="14" customFormat="1" ht="15.75">
      <c r="A19" s="1" t="s">
        <v>40</v>
      </c>
      <c r="I19" s="42"/>
      <c r="L19" s="15"/>
      <c r="M19" s="76"/>
      <c r="O19" s="42"/>
      <c r="Q19" s="42"/>
      <c r="S19" s="42"/>
      <c r="U19" s="42"/>
      <c r="W19" s="42"/>
      <c r="Y19" s="42"/>
      <c r="Z19" s="42"/>
      <c r="AB19" s="42"/>
      <c r="AD19" s="42"/>
      <c r="AF19" s="42"/>
      <c r="AH19" s="42"/>
      <c r="AJ19" s="42"/>
      <c r="AL19" s="42"/>
      <c r="AN19" s="42"/>
      <c r="AP19" s="42"/>
    </row>
    <row r="20" spans="1:42" s="14" customFormat="1" ht="6" customHeight="1">
      <c r="A20" s="1"/>
      <c r="I20" s="42"/>
      <c r="K20" s="15"/>
      <c r="M20" s="76"/>
      <c r="O20" s="42"/>
      <c r="Q20" s="42"/>
      <c r="S20" s="42"/>
      <c r="U20" s="42"/>
      <c r="W20" s="42"/>
      <c r="Y20" s="42"/>
      <c r="Z20" s="42"/>
      <c r="AB20" s="42"/>
      <c r="AD20" s="42"/>
      <c r="AF20" s="42"/>
      <c r="AH20" s="42"/>
      <c r="AJ20" s="42"/>
      <c r="AL20" s="42"/>
      <c r="AN20" s="42"/>
      <c r="AP20" s="42"/>
    </row>
    <row r="21" spans="2:52" s="14" customFormat="1" ht="15" customHeight="1">
      <c r="B21" s="1" t="s">
        <v>20</v>
      </c>
      <c r="I21" s="42"/>
      <c r="K21" s="15"/>
      <c r="M21" s="76"/>
      <c r="O21" s="42"/>
      <c r="Q21" s="42"/>
      <c r="S21" s="42"/>
      <c r="U21" s="42"/>
      <c r="W21" s="42"/>
      <c r="Y21" s="42"/>
      <c r="Z21" s="42"/>
      <c r="AB21" s="42"/>
      <c r="AD21" s="42"/>
      <c r="AF21" s="42"/>
      <c r="AH21" s="42"/>
      <c r="AJ21" s="42"/>
      <c r="AL21" s="42"/>
      <c r="AN21" s="42"/>
      <c r="AP21" s="59"/>
      <c r="AZ21" s="1050" t="s">
        <v>242</v>
      </c>
    </row>
    <row r="22" spans="3:52" s="14" customFormat="1" ht="15.75" customHeight="1">
      <c r="C22" s="287" t="s">
        <v>21</v>
      </c>
      <c r="D22" s="287"/>
      <c r="E22" s="287">
        <v>2012</v>
      </c>
      <c r="F22" s="287"/>
      <c r="G22" s="288"/>
      <c r="H22" s="287"/>
      <c r="I22" s="289" t="s">
        <v>128</v>
      </c>
      <c r="J22" s="246"/>
      <c r="K22" s="291">
        <v>422</v>
      </c>
      <c r="L22" s="246"/>
      <c r="M22" s="280">
        <v>1719</v>
      </c>
      <c r="N22" s="281">
        <v>1763</v>
      </c>
      <c r="O22" s="282">
        <v>541</v>
      </c>
      <c r="P22" s="281">
        <v>257</v>
      </c>
      <c r="Q22" s="282">
        <v>751</v>
      </c>
      <c r="R22" s="281">
        <v>12879</v>
      </c>
      <c r="S22" s="282">
        <v>1195</v>
      </c>
      <c r="T22" s="281">
        <v>124</v>
      </c>
      <c r="U22" s="282">
        <v>1658.5</v>
      </c>
      <c r="V22" s="281">
        <v>14701</v>
      </c>
      <c r="W22" s="282">
        <v>810</v>
      </c>
      <c r="X22" s="281">
        <v>11465</v>
      </c>
      <c r="Y22" s="282">
        <v>1254</v>
      </c>
      <c r="Z22" s="282">
        <v>1515.1</v>
      </c>
      <c r="AA22" s="281">
        <v>900</v>
      </c>
      <c r="AB22" s="282">
        <v>6726</v>
      </c>
      <c r="AC22" s="281">
        <v>309</v>
      </c>
      <c r="AD22" s="282">
        <v>152</v>
      </c>
      <c r="AE22" s="555">
        <v>0</v>
      </c>
      <c r="AF22" s="556">
        <v>0</v>
      </c>
      <c r="AG22" s="281">
        <v>2666</v>
      </c>
      <c r="AH22" s="282">
        <v>1365</v>
      </c>
      <c r="AI22" s="281">
        <v>2988</v>
      </c>
      <c r="AJ22" s="282">
        <v>550</v>
      </c>
      <c r="AK22" s="281">
        <v>2013</v>
      </c>
      <c r="AL22" s="282">
        <v>769</v>
      </c>
      <c r="AM22" s="281">
        <v>419.2</v>
      </c>
      <c r="AN22" s="282">
        <v>3756.02</v>
      </c>
      <c r="AO22" s="283"/>
      <c r="AP22" s="282">
        <f>SUM(M22:AN22)</f>
        <v>73245.82</v>
      </c>
      <c r="AQ22" s="281">
        <f>M22+N22+R22+S22+U22+V22+W22+X22+AA22+AB22+AD22+AG22+AI22+AK22+AN22</f>
        <v>65391.52</v>
      </c>
      <c r="AR22" s="246"/>
      <c r="AS22" s="246"/>
      <c r="AT22" s="385">
        <f>K22</f>
        <v>422</v>
      </c>
      <c r="AU22" s="337">
        <v>3617.02</v>
      </c>
      <c r="AV22" s="384">
        <f>AU22+115.5</f>
        <v>3732.52</v>
      </c>
      <c r="AX22" s="25">
        <v>-4483</v>
      </c>
      <c r="AZ22" s="1051"/>
    </row>
    <row r="23" spans="3:53" s="14" customFormat="1" ht="15.75">
      <c r="C23" s="287" t="s">
        <v>47</v>
      </c>
      <c r="D23" s="287"/>
      <c r="E23" s="287">
        <v>2012</v>
      </c>
      <c r="F23" s="287"/>
      <c r="G23" s="288"/>
      <c r="H23" s="287"/>
      <c r="I23" s="290" t="s">
        <v>26</v>
      </c>
      <c r="J23" s="246"/>
      <c r="K23" s="285">
        <f>K22/K14</f>
        <v>5.413171194745889</v>
      </c>
      <c r="L23" s="248"/>
      <c r="M23" s="284">
        <f>M22/M14</f>
        <v>20.493806554679953</v>
      </c>
      <c r="N23" s="285">
        <f aca="true" t="shared" si="1" ref="N23:AN23">N22/N14</f>
        <v>57.75026205450734</v>
      </c>
      <c r="O23" s="286">
        <f t="shared" si="1"/>
        <v>4.873786057908867</v>
      </c>
      <c r="P23" s="285">
        <f t="shared" si="1"/>
        <v>27.783783783783782</v>
      </c>
      <c r="Q23" s="286">
        <f t="shared" si="1"/>
        <v>9.52223969163666</v>
      </c>
      <c r="R23" s="285">
        <f t="shared" si="1"/>
        <v>36.06512388547874</v>
      </c>
      <c r="S23" s="286">
        <f t="shared" si="1"/>
        <v>27.727504756601235</v>
      </c>
      <c r="T23" s="285">
        <f t="shared" si="1"/>
        <v>2.7417250757291</v>
      </c>
      <c r="U23" s="286">
        <f t="shared" si="1"/>
        <v>12.56848821964731</v>
      </c>
      <c r="V23" s="285">
        <f t="shared" si="1"/>
        <v>29.05353193793639</v>
      </c>
      <c r="W23" s="286">
        <f t="shared" si="1"/>
        <v>2.393482635431226</v>
      </c>
      <c r="X23" s="285">
        <f t="shared" si="1"/>
        <v>21.07672368626658</v>
      </c>
      <c r="Y23" s="286">
        <f>Y22/Y14</f>
        <v>22.15782591794183</v>
      </c>
      <c r="Z23" s="286">
        <f t="shared" si="1"/>
        <v>16.286144254541544</v>
      </c>
      <c r="AA23" s="285">
        <f t="shared" si="1"/>
        <v>12.805554765089212</v>
      </c>
      <c r="AB23" s="286">
        <f t="shared" si="1"/>
        <v>22.320598932752805</v>
      </c>
      <c r="AC23" s="285">
        <f t="shared" si="1"/>
        <v>4.732006125574273</v>
      </c>
      <c r="AD23" s="286">
        <f t="shared" si="1"/>
        <v>58.778035576179434</v>
      </c>
      <c r="AE23" s="555">
        <v>0</v>
      </c>
      <c r="AF23" s="556">
        <v>0</v>
      </c>
      <c r="AG23" s="285">
        <f t="shared" si="1"/>
        <v>64.20074170399268</v>
      </c>
      <c r="AH23" s="286">
        <f t="shared" si="1"/>
        <v>4.365415673921039</v>
      </c>
      <c r="AI23" s="285">
        <f t="shared" si="1"/>
        <v>32.44651970898035</v>
      </c>
      <c r="AJ23" s="286">
        <f t="shared" si="1"/>
        <v>2.3071340780482488</v>
      </c>
      <c r="AK23" s="285">
        <f t="shared" si="1"/>
        <v>4.470402735984188</v>
      </c>
      <c r="AL23" s="286">
        <f t="shared" si="1"/>
        <v>37.93222512701623</v>
      </c>
      <c r="AM23" s="285">
        <f t="shared" si="1"/>
        <v>8.548995615376771</v>
      </c>
      <c r="AN23" s="286">
        <f t="shared" si="1"/>
        <v>15.404888852432123</v>
      </c>
      <c r="AO23" s="285"/>
      <c r="AP23" s="286">
        <f>AP22/AP14</f>
        <v>16.71740069183177</v>
      </c>
      <c r="AQ23" s="285">
        <f>AQ22/AQ14</f>
        <v>20.202009217512405</v>
      </c>
      <c r="AR23" s="248"/>
      <c r="AS23" s="248"/>
      <c r="AT23" s="300">
        <f>K23</f>
        <v>5.413171194745889</v>
      </c>
      <c r="AU23" s="22">
        <f>AU22/AU14</f>
        <v>15.796778645423894</v>
      </c>
      <c r="AV23" s="22">
        <f>AV22/AV14</f>
        <v>15.30850627512099</v>
      </c>
      <c r="AZ23" s="1051"/>
      <c r="BA23" s="14">
        <f>RANK(K23,K23:AN23,1)</f>
        <v>10</v>
      </c>
    </row>
    <row r="24" spans="9:52" s="14" customFormat="1" ht="6" customHeight="1">
      <c r="I24" s="42"/>
      <c r="K24" s="15"/>
      <c r="M24" s="76"/>
      <c r="O24" s="42"/>
      <c r="Q24" s="42"/>
      <c r="S24" s="42"/>
      <c r="U24" s="42"/>
      <c r="W24" s="42"/>
      <c r="Y24" s="42"/>
      <c r="Z24" s="42"/>
      <c r="AB24" s="42"/>
      <c r="AD24" s="42"/>
      <c r="AF24" s="42"/>
      <c r="AH24" s="42"/>
      <c r="AJ24" s="42"/>
      <c r="AL24" s="42"/>
      <c r="AN24" s="42"/>
      <c r="AP24" s="42"/>
      <c r="AZ24" s="1051"/>
    </row>
    <row r="25" spans="2:52" s="14" customFormat="1" ht="15.75">
      <c r="B25" s="1" t="s">
        <v>109</v>
      </c>
      <c r="I25" s="42"/>
      <c r="K25" s="15"/>
      <c r="M25" s="76"/>
      <c r="O25" s="42"/>
      <c r="Q25" s="42"/>
      <c r="S25" s="42"/>
      <c r="U25" s="42"/>
      <c r="W25" s="42"/>
      <c r="Y25" s="42"/>
      <c r="Z25" s="42"/>
      <c r="AB25" s="42"/>
      <c r="AD25" s="42"/>
      <c r="AF25" s="42"/>
      <c r="AH25" s="42"/>
      <c r="AJ25" s="42"/>
      <c r="AL25" s="42"/>
      <c r="AN25" s="42"/>
      <c r="AP25" s="42"/>
      <c r="AZ25" s="1051"/>
    </row>
    <row r="26" spans="1:67" s="302" customFormat="1" ht="27" customHeight="1">
      <c r="A26" s="287"/>
      <c r="B26" s="287"/>
      <c r="C26" s="298" t="s">
        <v>51</v>
      </c>
      <c r="D26" s="287"/>
      <c r="E26" s="287">
        <v>2012</v>
      </c>
      <c r="F26" s="287"/>
      <c r="G26" s="1057" t="s">
        <v>237</v>
      </c>
      <c r="H26" s="287"/>
      <c r="I26" s="289" t="s">
        <v>129</v>
      </c>
      <c r="J26" s="287"/>
      <c r="K26" s="299">
        <v>28.739269999999998</v>
      </c>
      <c r="L26" s="287"/>
      <c r="M26" s="284">
        <v>35.355996</v>
      </c>
      <c r="N26" s="285">
        <v>16.341</v>
      </c>
      <c r="O26" s="286">
        <v>7.551</v>
      </c>
      <c r="P26" s="285">
        <v>4.767</v>
      </c>
      <c r="Q26" s="286">
        <v>55.716</v>
      </c>
      <c r="R26" s="285">
        <v>230.517</v>
      </c>
      <c r="S26" s="286">
        <v>74.109</v>
      </c>
      <c r="T26" s="285">
        <v>16.469</v>
      </c>
      <c r="U26" s="286">
        <v>41.8215</v>
      </c>
      <c r="V26" s="285">
        <v>165.595</v>
      </c>
      <c r="W26" s="286">
        <v>26.897</v>
      </c>
      <c r="X26" s="285">
        <v>399.214</v>
      </c>
      <c r="Y26" s="286">
        <v>17.644</v>
      </c>
      <c r="Z26" s="286">
        <v>31.242099999999997</v>
      </c>
      <c r="AA26" s="285">
        <v>17.044</v>
      </c>
      <c r="AB26" s="286">
        <v>180.175</v>
      </c>
      <c r="AC26" s="285">
        <v>21.242</v>
      </c>
      <c r="AD26" s="286">
        <v>2.88</v>
      </c>
      <c r="AE26" s="285">
        <v>6.987</v>
      </c>
      <c r="AF26" s="286">
        <v>2.3614</v>
      </c>
      <c r="AG26" s="285">
        <v>12.969</v>
      </c>
      <c r="AH26" s="286">
        <v>173.384</v>
      </c>
      <c r="AI26" s="285">
        <v>14.284</v>
      </c>
      <c r="AJ26" s="286">
        <v>52.614</v>
      </c>
      <c r="AK26" s="285">
        <v>98.508</v>
      </c>
      <c r="AL26" s="286">
        <v>6.738</v>
      </c>
      <c r="AM26" s="285">
        <v>18.016548999999998</v>
      </c>
      <c r="AN26" s="286">
        <v>175.75951999999998</v>
      </c>
      <c r="AO26" s="300"/>
      <c r="AP26" s="301">
        <v>1906.202065</v>
      </c>
      <c r="AQ26" s="291">
        <v>1491.470016</v>
      </c>
      <c r="AR26" s="287"/>
      <c r="AS26" s="287"/>
      <c r="AT26" s="299">
        <f>K26</f>
        <v>28.739269999999998</v>
      </c>
      <c r="AU26" s="300">
        <v>165.47579000000007</v>
      </c>
      <c r="AV26" s="300">
        <f>AU26+10.0296</f>
        <v>175.50539000000006</v>
      </c>
      <c r="AW26" s="287"/>
      <c r="AX26" s="300">
        <v>-980.7930000000001</v>
      </c>
      <c r="AY26" s="287"/>
      <c r="AZ26" s="1051"/>
      <c r="BA26" s="287"/>
      <c r="BB26" s="287"/>
      <c r="BC26" s="287"/>
      <c r="BD26" s="287"/>
      <c r="BE26" s="287"/>
      <c r="BF26" s="287"/>
      <c r="BG26" s="287"/>
      <c r="BH26" s="287"/>
      <c r="BI26" s="287"/>
      <c r="BJ26" s="287"/>
      <c r="BK26" s="287"/>
      <c r="BL26" s="287"/>
      <c r="BM26" s="287"/>
      <c r="BN26" s="287"/>
      <c r="BO26" s="287"/>
    </row>
    <row r="27" spans="3:53" s="287" customFormat="1" ht="15">
      <c r="C27" s="287" t="s">
        <v>47</v>
      </c>
      <c r="E27" s="287">
        <v>2012</v>
      </c>
      <c r="G27" s="1057"/>
      <c r="I27" s="290" t="s">
        <v>26</v>
      </c>
      <c r="K27" s="283">
        <f>1000*K26/K14</f>
        <v>368.65068370148026</v>
      </c>
      <c r="L27" s="283"/>
      <c r="M27" s="303">
        <f>1000*M26/M14</f>
        <v>421.5118921303306</v>
      </c>
      <c r="N27" s="283">
        <f aca="true" t="shared" si="2" ref="N27:AN27">1000*N26/N14</f>
        <v>535.2790880503145</v>
      </c>
      <c r="O27" s="304">
        <f t="shared" si="2"/>
        <v>68.02580133691285</v>
      </c>
      <c r="P27" s="283">
        <f t="shared" si="2"/>
        <v>515.3513513513514</v>
      </c>
      <c r="Q27" s="304">
        <f t="shared" si="2"/>
        <v>706.446213927068</v>
      </c>
      <c r="R27" s="283">
        <f t="shared" si="2"/>
        <v>645.5178323401586</v>
      </c>
      <c r="S27" s="304">
        <f t="shared" si="2"/>
        <v>1719.5461506334402</v>
      </c>
      <c r="T27" s="283">
        <f t="shared" si="2"/>
        <v>364.14088929179474</v>
      </c>
      <c r="U27" s="304">
        <f t="shared" si="2"/>
        <v>316.9327887114742</v>
      </c>
      <c r="V27" s="283">
        <f t="shared" si="2"/>
        <v>327.2647861548586</v>
      </c>
      <c r="W27" s="304">
        <f t="shared" si="2"/>
        <v>79.47839808048603</v>
      </c>
      <c r="X27" s="283">
        <f t="shared" si="2"/>
        <v>733.8964823104427</v>
      </c>
      <c r="Y27" s="304">
        <f t="shared" si="2"/>
        <v>311.7644980033219</v>
      </c>
      <c r="Z27" s="304">
        <f t="shared" si="2"/>
        <v>335.8282274535096</v>
      </c>
      <c r="AA27" s="283">
        <f t="shared" si="2"/>
        <v>242.50875046242282</v>
      </c>
      <c r="AB27" s="304">
        <f t="shared" si="2"/>
        <v>597.9205936230652</v>
      </c>
      <c r="AC27" s="283">
        <f t="shared" si="2"/>
        <v>325.2986217457887</v>
      </c>
      <c r="AD27" s="304">
        <f t="shared" si="2"/>
        <v>1113.6890951276102</v>
      </c>
      <c r="AE27" s="283">
        <f t="shared" si="2"/>
        <v>108.22658343530725</v>
      </c>
      <c r="AF27" s="304">
        <f t="shared" si="2"/>
        <v>7472.784810126583</v>
      </c>
      <c r="AG27" s="283">
        <f t="shared" si="2"/>
        <v>312.310359774599</v>
      </c>
      <c r="AH27" s="304">
        <f t="shared" si="2"/>
        <v>554.5005356828757</v>
      </c>
      <c r="AI27" s="283">
        <f t="shared" si="2"/>
        <v>155.1091323705071</v>
      </c>
      <c r="AJ27" s="304">
        <f t="shared" si="2"/>
        <v>220.70464069532827</v>
      </c>
      <c r="AK27" s="283">
        <f t="shared" si="2"/>
        <v>218.7632551993693</v>
      </c>
      <c r="AL27" s="304">
        <f t="shared" si="2"/>
        <v>332.363241750111</v>
      </c>
      <c r="AM27" s="283">
        <f t="shared" si="2"/>
        <v>367.4222290200877</v>
      </c>
      <c r="AN27" s="304">
        <f t="shared" si="2"/>
        <v>720.857681896481</v>
      </c>
      <c r="AO27" s="283"/>
      <c r="AP27" s="304">
        <f>1000*AP26/AP14</f>
        <v>435.0656968575428</v>
      </c>
      <c r="AQ27" s="283">
        <f>1000*AQ26/AQ14</f>
        <v>460.7736754073827</v>
      </c>
      <c r="AR27" s="283"/>
      <c r="AS27" s="283"/>
      <c r="AT27" s="283">
        <f>K27</f>
        <v>368.65068370148026</v>
      </c>
      <c r="AU27" s="283">
        <f>1000*AU26/AU14</f>
        <v>722.6900669077445</v>
      </c>
      <c r="AV27" s="283">
        <f>1000*AV26/AV14</f>
        <v>719.8153966040525</v>
      </c>
      <c r="AZ27" s="1051"/>
      <c r="BA27" s="287">
        <f>RANK(K27,K27:AN27,1)</f>
        <v>17</v>
      </c>
    </row>
    <row r="28" spans="9:47" s="14" customFormat="1" ht="6" customHeight="1">
      <c r="I28" s="42"/>
      <c r="K28" s="15"/>
      <c r="M28" s="76"/>
      <c r="O28" s="42"/>
      <c r="Q28" s="42"/>
      <c r="S28" s="42"/>
      <c r="U28" s="42"/>
      <c r="W28" s="42"/>
      <c r="Y28" s="42"/>
      <c r="Z28" s="42"/>
      <c r="AB28" s="42"/>
      <c r="AD28" s="42"/>
      <c r="AF28" s="42"/>
      <c r="AH28" s="42"/>
      <c r="AJ28" s="42"/>
      <c r="AL28" s="42"/>
      <c r="AN28" s="42"/>
      <c r="AP28" s="42"/>
      <c r="AU28" s="15"/>
    </row>
    <row r="29" spans="2:52" s="14" customFormat="1" ht="15.75">
      <c r="B29" s="1" t="s">
        <v>22</v>
      </c>
      <c r="I29" s="42"/>
      <c r="K29" s="15"/>
      <c r="M29" s="76"/>
      <c r="O29" s="42"/>
      <c r="Q29" s="42"/>
      <c r="S29" s="42"/>
      <c r="U29" s="42"/>
      <c r="W29" s="42"/>
      <c r="Y29" s="42"/>
      <c r="Z29" s="42"/>
      <c r="AB29" s="42"/>
      <c r="AD29" s="42"/>
      <c r="AF29" s="42"/>
      <c r="AH29" s="42"/>
      <c r="AJ29" s="42"/>
      <c r="AL29" s="42"/>
      <c r="AN29" s="42"/>
      <c r="AP29" s="42"/>
      <c r="AU29" s="15"/>
      <c r="AZ29" s="1053" t="s">
        <v>300</v>
      </c>
    </row>
    <row r="30" spans="3:52" s="14" customFormat="1" ht="15">
      <c r="C30" s="14" t="s">
        <v>21</v>
      </c>
      <c r="E30" s="14">
        <v>2013</v>
      </c>
      <c r="I30" s="42" t="s">
        <v>130</v>
      </c>
      <c r="J30" s="246"/>
      <c r="K30" s="337">
        <v>2763</v>
      </c>
      <c r="L30" s="246"/>
      <c r="M30" s="84">
        <v>4894</v>
      </c>
      <c r="N30" s="25">
        <v>3582</v>
      </c>
      <c r="O30" s="51">
        <v>4032</v>
      </c>
      <c r="P30" s="36" t="s">
        <v>146</v>
      </c>
      <c r="Q30" s="51">
        <v>9459</v>
      </c>
      <c r="R30" s="25">
        <v>33446</v>
      </c>
      <c r="S30" s="51">
        <v>2615</v>
      </c>
      <c r="T30" s="25">
        <v>1510</v>
      </c>
      <c r="U30" s="51">
        <v>2265</v>
      </c>
      <c r="V30" s="25">
        <v>15937</v>
      </c>
      <c r="W30" s="51">
        <v>5944</v>
      </c>
      <c r="X30" s="25">
        <v>30581</v>
      </c>
      <c r="Y30" s="51">
        <v>2722</v>
      </c>
      <c r="Z30" s="51">
        <v>7898</v>
      </c>
      <c r="AA30" s="25">
        <v>1919</v>
      </c>
      <c r="AB30" s="51">
        <v>17070</v>
      </c>
      <c r="AC30" s="25">
        <v>1767</v>
      </c>
      <c r="AD30" s="51">
        <v>275</v>
      </c>
      <c r="AE30" s="25">
        <v>1859</v>
      </c>
      <c r="AF30" s="81" t="s">
        <v>146</v>
      </c>
      <c r="AG30" s="25">
        <v>3032</v>
      </c>
      <c r="AH30" s="51">
        <v>18959</v>
      </c>
      <c r="AI30" s="25">
        <v>2544</v>
      </c>
      <c r="AJ30" s="51">
        <v>10768</v>
      </c>
      <c r="AK30" s="25">
        <v>10957</v>
      </c>
      <c r="AL30" s="51">
        <v>1209</v>
      </c>
      <c r="AM30" s="25">
        <v>3631</v>
      </c>
      <c r="AN30" s="51">
        <v>16423</v>
      </c>
      <c r="AO30" s="25"/>
      <c r="AP30" s="51">
        <v>215298</v>
      </c>
      <c r="AQ30" s="25">
        <v>151484</v>
      </c>
      <c r="AR30" s="250"/>
      <c r="AS30" s="250"/>
      <c r="AT30" s="25">
        <v>2763</v>
      </c>
      <c r="AU30" s="25">
        <v>15753</v>
      </c>
      <c r="AV30" s="337">
        <f>AU30+(211*1.61)</f>
        <v>16092.71</v>
      </c>
      <c r="AX30" s="25">
        <v>-61723</v>
      </c>
      <c r="AZ30" s="1053"/>
    </row>
    <row r="31" spans="3:53" s="14" customFormat="1" ht="15">
      <c r="C31" s="14" t="s">
        <v>47</v>
      </c>
      <c r="E31" s="14">
        <v>2013</v>
      </c>
      <c r="I31" s="44" t="s">
        <v>26</v>
      </c>
      <c r="K31" s="22">
        <f>K30/K14</f>
        <v>35.44216116370353</v>
      </c>
      <c r="L31" s="22"/>
      <c r="M31" s="75">
        <f>M30/M14</f>
        <v>58.34595071472001</v>
      </c>
      <c r="N31" s="22">
        <f aca="true" t="shared" si="3" ref="N31:AN31">N30/N14</f>
        <v>117.33490566037736</v>
      </c>
      <c r="O31" s="50">
        <f t="shared" si="3"/>
        <v>36.3236698437866</v>
      </c>
      <c r="P31" s="36" t="s">
        <v>146</v>
      </c>
      <c r="Q31" s="50">
        <f t="shared" si="3"/>
        <v>119.93457422528783</v>
      </c>
      <c r="R31" s="22">
        <f t="shared" si="3"/>
        <v>93.65899009812269</v>
      </c>
      <c r="S31" s="50">
        <f t="shared" si="3"/>
        <v>60.67566940461275</v>
      </c>
      <c r="T31" s="22">
        <f t="shared" si="3"/>
        <v>33.38713600283017</v>
      </c>
      <c r="U31" s="50">
        <f t="shared" si="3"/>
        <v>17.1646824344294</v>
      </c>
      <c r="V31" s="22">
        <f t="shared" si="3"/>
        <v>31.49623416739625</v>
      </c>
      <c r="W31" s="50">
        <f t="shared" si="3"/>
        <v>17.564025660497787</v>
      </c>
      <c r="X31" s="22">
        <f t="shared" si="3"/>
        <v>56.2186905407517</v>
      </c>
      <c r="Y31" s="50">
        <f t="shared" si="3"/>
        <v>48.09697141039686</v>
      </c>
      <c r="Z31" s="50">
        <f t="shared" si="3"/>
        <v>84.89734494249167</v>
      </c>
      <c r="AA31" s="22">
        <f t="shared" si="3"/>
        <v>27.30428843800689</v>
      </c>
      <c r="AB31" s="50">
        <f t="shared" si="3"/>
        <v>56.64772878116123</v>
      </c>
      <c r="AC31" s="22">
        <f t="shared" si="3"/>
        <v>27.059724349157733</v>
      </c>
      <c r="AD31" s="50">
        <f t="shared" si="3"/>
        <v>106.34184068058778</v>
      </c>
      <c r="AE31" s="22">
        <f t="shared" si="3"/>
        <v>28.795365479638782</v>
      </c>
      <c r="AF31" s="81" t="s">
        <v>146</v>
      </c>
      <c r="AG31" s="22">
        <f t="shared" si="3"/>
        <v>73.01449694167509</v>
      </c>
      <c r="AH31" s="50">
        <f t="shared" si="3"/>
        <v>60.63290532005053</v>
      </c>
      <c r="AI31" s="22">
        <f t="shared" si="3"/>
        <v>27.62514931045716</v>
      </c>
      <c r="AJ31" s="50">
        <f t="shared" si="3"/>
        <v>45.16949045895189</v>
      </c>
      <c r="AK31" s="22">
        <f t="shared" si="3"/>
        <v>24.332937296661076</v>
      </c>
      <c r="AL31" s="50">
        <f t="shared" si="3"/>
        <v>59.63596902283826</v>
      </c>
      <c r="AM31" s="22">
        <f t="shared" si="3"/>
        <v>74.04914856734986</v>
      </c>
      <c r="AN31" s="50">
        <f t="shared" si="3"/>
        <v>67.35706668854073</v>
      </c>
      <c r="AO31" s="22"/>
      <c r="AP31" s="50">
        <f>AP30/AP14</f>
        <v>49.138953378499906</v>
      </c>
      <c r="AQ31" s="22">
        <f>AQ30/AQ14</f>
        <v>46.79935814774835</v>
      </c>
      <c r="AR31" s="22"/>
      <c r="AS31" s="22"/>
      <c r="AT31" s="20">
        <v>35.4</v>
      </c>
      <c r="AU31" s="22">
        <f>AU30/AU14</f>
        <v>68.79880509407263</v>
      </c>
      <c r="AV31" s="22">
        <f>AV30/AV14</f>
        <v>66.00241981789844</v>
      </c>
      <c r="AZ31" s="1053"/>
      <c r="BA31" s="14">
        <f>RANK(K31,K31:AN31,1)</f>
        <v>10</v>
      </c>
    </row>
    <row r="32" spans="9:47" s="14" customFormat="1" ht="6" customHeight="1">
      <c r="I32" s="42"/>
      <c r="K32" s="15"/>
      <c r="M32" s="76"/>
      <c r="O32" s="42"/>
      <c r="Q32" s="42"/>
      <c r="S32" s="42"/>
      <c r="U32" s="42"/>
      <c r="W32" s="42"/>
      <c r="Y32" s="42"/>
      <c r="Z32" s="42"/>
      <c r="AB32" s="42"/>
      <c r="AD32" s="42"/>
      <c r="AF32" s="42"/>
      <c r="AH32" s="42"/>
      <c r="AJ32" s="42"/>
      <c r="AL32" s="42"/>
      <c r="AN32" s="42"/>
      <c r="AP32" s="42"/>
      <c r="AU32" s="15"/>
    </row>
    <row r="33" spans="2:52" s="14" customFormat="1" ht="15.75">
      <c r="B33" s="1" t="s">
        <v>23</v>
      </c>
      <c r="I33" s="42"/>
      <c r="K33" s="15"/>
      <c r="M33" s="76"/>
      <c r="O33" s="42"/>
      <c r="Q33" s="42"/>
      <c r="S33" s="42"/>
      <c r="U33" s="42"/>
      <c r="W33" s="42"/>
      <c r="Y33" s="42"/>
      <c r="Z33" s="42"/>
      <c r="AB33" s="42"/>
      <c r="AD33" s="42"/>
      <c r="AF33" s="42"/>
      <c r="AH33" s="42"/>
      <c r="AJ33" s="42"/>
      <c r="AL33" s="42"/>
      <c r="AN33" s="42"/>
      <c r="AP33" s="42"/>
      <c r="AU33" s="15"/>
      <c r="AZ33" s="1050" t="s">
        <v>286</v>
      </c>
    </row>
    <row r="34" spans="3:52" s="14" customFormat="1" ht="15">
      <c r="C34" s="14" t="s">
        <v>0</v>
      </c>
      <c r="E34" s="14">
        <v>2013</v>
      </c>
      <c r="G34" s="21"/>
      <c r="I34" s="42" t="s">
        <v>131</v>
      </c>
      <c r="K34" s="19">
        <v>2.319</v>
      </c>
      <c r="M34" s="73">
        <v>4.641308</v>
      </c>
      <c r="N34" s="17">
        <v>5.504809</v>
      </c>
      <c r="O34" s="52">
        <v>2.9101999999999997</v>
      </c>
      <c r="P34" s="17">
        <v>0.47456099999999996</v>
      </c>
      <c r="Q34" s="52">
        <v>4.729185</v>
      </c>
      <c r="R34" s="17">
        <v>43.85123</v>
      </c>
      <c r="S34" s="52">
        <v>2.278121</v>
      </c>
      <c r="T34" s="17">
        <v>0.6285</v>
      </c>
      <c r="U34" s="52">
        <v>5.124207999999999</v>
      </c>
      <c r="V34" s="17">
        <v>22.024538</v>
      </c>
      <c r="W34" s="52">
        <v>3.127399</v>
      </c>
      <c r="X34" s="17">
        <v>32.243826</v>
      </c>
      <c r="Y34" s="52">
        <v>1.448299</v>
      </c>
      <c r="Z34" s="52">
        <v>3.0407319999999998</v>
      </c>
      <c r="AA34" s="17">
        <v>1.9331289999999999</v>
      </c>
      <c r="AB34" s="52">
        <v>36.962934000000004</v>
      </c>
      <c r="AC34" s="17">
        <v>1.8089819999999999</v>
      </c>
      <c r="AD34" s="52">
        <v>0.363247</v>
      </c>
      <c r="AE34" s="17">
        <v>0.6346029999999999</v>
      </c>
      <c r="AF34" s="52">
        <v>0.256096</v>
      </c>
      <c r="AG34" s="17">
        <v>7.93229</v>
      </c>
      <c r="AH34" s="52">
        <v>19.389446</v>
      </c>
      <c r="AI34" s="17">
        <v>4.48</v>
      </c>
      <c r="AJ34" s="52">
        <v>4.69566</v>
      </c>
      <c r="AK34" s="17">
        <v>4.495473</v>
      </c>
      <c r="AL34" s="52">
        <v>1.063795</v>
      </c>
      <c r="AM34" s="17">
        <v>1.879759</v>
      </c>
      <c r="AN34" s="52">
        <v>30.074857000000005</v>
      </c>
      <c r="AO34" s="17"/>
      <c r="AP34" s="52">
        <v>247.99718699999997</v>
      </c>
      <c r="AQ34" s="17">
        <v>205.037369</v>
      </c>
      <c r="AR34" s="246"/>
      <c r="AS34" s="246"/>
      <c r="AT34" s="19">
        <v>2.319</v>
      </c>
      <c r="AU34" s="383">
        <v>29.1409</v>
      </c>
      <c r="AV34" s="155">
        <f>AU34+0.890484</f>
        <v>30.031384</v>
      </c>
      <c r="AX34" s="20">
        <v>-36.08399999999992</v>
      </c>
      <c r="AZ34" s="1058"/>
    </row>
    <row r="35" spans="3:53" s="14" customFormat="1" ht="15">
      <c r="C35" s="14" t="s">
        <v>39</v>
      </c>
      <c r="E35" s="14">
        <v>2013</v>
      </c>
      <c r="G35" s="21"/>
      <c r="I35" s="44" t="s">
        <v>26</v>
      </c>
      <c r="K35" s="26">
        <f>K34/5.314*1000</f>
        <v>436.3944298080542</v>
      </c>
      <c r="M35" s="85">
        <f>M34/M11*1000</f>
        <v>545.5365238382819</v>
      </c>
      <c r="N35" s="27">
        <f aca="true" t="shared" si="4" ref="N35:AQ35">N34/N11*1000</f>
        <v>491.3256810608219</v>
      </c>
      <c r="O35" s="53">
        <f t="shared" si="4"/>
        <v>401.64638859833246</v>
      </c>
      <c r="P35" s="27">
        <f t="shared" si="4"/>
        <v>553.1013986013985</v>
      </c>
      <c r="Q35" s="53">
        <f>Q34/Q11*1000</f>
        <v>449.8664864861266</v>
      </c>
      <c r="R35" s="27">
        <f t="shared" si="4"/>
        <v>542.8476107947512</v>
      </c>
      <c r="S35" s="53">
        <f t="shared" si="4"/>
        <v>404.8384330848099</v>
      </c>
      <c r="T35" s="27">
        <f t="shared" si="4"/>
        <v>477.64928155012194</v>
      </c>
      <c r="U35" s="53">
        <f t="shared" si="4"/>
        <v>466.1511496518244</v>
      </c>
      <c r="V35" s="27">
        <f t="shared" si="4"/>
        <v>473.56694882746456</v>
      </c>
      <c r="W35" s="53">
        <f t="shared" si="4"/>
        <v>573.7009907782957</v>
      </c>
      <c r="X35" s="27">
        <f t="shared" si="4"/>
        <v>504.3724086718735</v>
      </c>
      <c r="Y35" s="53">
        <f t="shared" si="4"/>
        <v>341.04104363388046</v>
      </c>
      <c r="Z35" s="53">
        <f t="shared" si="4"/>
        <v>307.79755035934807</v>
      </c>
      <c r="AA35" s="27">
        <f t="shared" si="4"/>
        <v>419.8776767044691</v>
      </c>
      <c r="AB35" s="53">
        <f t="shared" si="4"/>
        <v>608.1163465874845</v>
      </c>
      <c r="AC35" s="27">
        <f t="shared" si="4"/>
        <v>614.574217115026</v>
      </c>
      <c r="AD35" s="53">
        <f t="shared" si="4"/>
        <v>660.8335758987047</v>
      </c>
      <c r="AE35" s="27">
        <f t="shared" si="4"/>
        <v>317.068771521703</v>
      </c>
      <c r="AF35" s="53">
        <f t="shared" si="4"/>
        <v>602.0348673198804</v>
      </c>
      <c r="AG35" s="27">
        <f t="shared" si="4"/>
        <v>471.33839106334204</v>
      </c>
      <c r="AH35" s="53">
        <f t="shared" si="4"/>
        <v>503.6787654420982</v>
      </c>
      <c r="AI35" s="27">
        <f t="shared" si="4"/>
        <v>429.64138083287327</v>
      </c>
      <c r="AJ35" s="53">
        <f t="shared" si="4"/>
        <v>235.45827077475494</v>
      </c>
      <c r="AK35" s="27">
        <f t="shared" si="4"/>
        <v>466.1001959177444</v>
      </c>
      <c r="AL35" s="53">
        <f t="shared" si="4"/>
        <v>516.1334927962699</v>
      </c>
      <c r="AM35" s="27">
        <f t="shared" si="4"/>
        <v>347.0784159895154</v>
      </c>
      <c r="AN35" s="53">
        <f t="shared" si="4"/>
        <v>467.66708557085695</v>
      </c>
      <c r="AP35" s="49">
        <f t="shared" si="4"/>
        <v>490.60885657232785</v>
      </c>
      <c r="AQ35" s="24">
        <f t="shared" si="4"/>
        <v>512.4072495740123</v>
      </c>
      <c r="AT35" s="24">
        <f>K35</f>
        <v>436.3944298080542</v>
      </c>
      <c r="AU35" s="24">
        <f>AU34/AU11*1000</f>
        <v>464.3505330958728</v>
      </c>
      <c r="AV35" s="24">
        <f>AV34/AV11*1000</f>
        <v>464.9054800773884</v>
      </c>
      <c r="AZ35" s="1058"/>
      <c r="BA35" s="14">
        <f>RANK(K35,K35:AN35,1)</f>
        <v>10</v>
      </c>
    </row>
    <row r="36" spans="9:47" s="14" customFormat="1" ht="6" customHeight="1">
      <c r="I36" s="42"/>
      <c r="K36" s="15"/>
      <c r="M36" s="76"/>
      <c r="O36" s="42"/>
      <c r="Q36" s="42"/>
      <c r="S36" s="42"/>
      <c r="U36" s="42"/>
      <c r="W36" s="42"/>
      <c r="Y36" s="42"/>
      <c r="Z36" s="42"/>
      <c r="AB36" s="42"/>
      <c r="AD36" s="42"/>
      <c r="AF36" s="42"/>
      <c r="AH36" s="42"/>
      <c r="AJ36" s="42"/>
      <c r="AL36" s="42"/>
      <c r="AN36" s="42"/>
      <c r="AP36" s="42"/>
      <c r="AU36" s="15"/>
    </row>
    <row r="37" spans="2:52" s="14" customFormat="1" ht="15.75">
      <c r="B37" s="1" t="s">
        <v>110</v>
      </c>
      <c r="I37" s="42"/>
      <c r="K37" s="15"/>
      <c r="M37" s="76"/>
      <c r="O37" s="42"/>
      <c r="Q37" s="42"/>
      <c r="S37" s="42"/>
      <c r="U37" s="42"/>
      <c r="W37" s="42"/>
      <c r="Y37" s="42"/>
      <c r="Z37" s="42"/>
      <c r="AB37" s="42"/>
      <c r="AD37" s="42"/>
      <c r="AF37" s="42"/>
      <c r="AH37" s="42"/>
      <c r="AJ37" s="42"/>
      <c r="AL37" s="42"/>
      <c r="AN37" s="42"/>
      <c r="AP37" s="42"/>
      <c r="AU37" s="15"/>
      <c r="AZ37" s="1053" t="s">
        <v>301</v>
      </c>
    </row>
    <row r="38" spans="3:52" s="14" customFormat="1" ht="15">
      <c r="C38" s="14" t="s">
        <v>25</v>
      </c>
      <c r="E38" s="14">
        <v>2013</v>
      </c>
      <c r="G38" s="21" t="s">
        <v>105</v>
      </c>
      <c r="I38" s="43" t="s">
        <v>134</v>
      </c>
      <c r="K38" s="36">
        <v>66</v>
      </c>
      <c r="L38" s="246"/>
      <c r="M38" s="84">
        <v>776.337</v>
      </c>
      <c r="N38" s="25">
        <v>444.736</v>
      </c>
      <c r="O38" s="51">
        <v>147.9</v>
      </c>
      <c r="P38" s="25">
        <v>39.969</v>
      </c>
      <c r="Q38" s="51">
        <v>977.167</v>
      </c>
      <c r="R38" s="25">
        <v>6031.16</v>
      </c>
      <c r="S38" s="51">
        <v>198.076</v>
      </c>
      <c r="T38" s="25">
        <v>38.7</v>
      </c>
      <c r="U38" s="51">
        <v>1568.596</v>
      </c>
      <c r="V38" s="25">
        <v>4998.32</v>
      </c>
      <c r="W38" s="51">
        <v>554.252</v>
      </c>
      <c r="X38" s="25">
        <v>2894.2832000000003</v>
      </c>
      <c r="Y38" s="51">
        <v>154.782</v>
      </c>
      <c r="Z38" s="51">
        <v>157.178</v>
      </c>
      <c r="AA38" s="25">
        <v>36.623</v>
      </c>
      <c r="AB38" s="51">
        <v>8737.848</v>
      </c>
      <c r="AC38" s="25">
        <v>68.152</v>
      </c>
      <c r="AD38" s="51">
        <v>25.753</v>
      </c>
      <c r="AE38" s="25">
        <v>43.588</v>
      </c>
      <c r="AF38" s="51">
        <v>16.901000000000003</v>
      </c>
      <c r="AG38" s="25">
        <v>1751.171</v>
      </c>
      <c r="AH38" s="51">
        <v>2316.61</v>
      </c>
      <c r="AI38" s="25">
        <v>485</v>
      </c>
      <c r="AJ38" s="51">
        <v>101.622</v>
      </c>
      <c r="AK38" s="25">
        <v>605.5899999999999</v>
      </c>
      <c r="AL38" s="51">
        <v>92.98599999999999</v>
      </c>
      <c r="AM38" s="25">
        <v>74.101</v>
      </c>
      <c r="AN38" s="51">
        <v>1243.7450000000001</v>
      </c>
      <c r="AO38" s="25"/>
      <c r="AP38" s="51">
        <v>34581.1462</v>
      </c>
      <c r="AQ38" s="25">
        <v>30351.490199999997</v>
      </c>
      <c r="AR38" s="246"/>
      <c r="AS38" s="246"/>
      <c r="AT38" s="25">
        <v>66</v>
      </c>
      <c r="AU38" s="36">
        <v>1219.4</v>
      </c>
      <c r="AV38" s="25">
        <f>AU38+24.345</f>
        <v>1243.7450000000001</v>
      </c>
      <c r="AX38" s="20">
        <v>-3744.7</v>
      </c>
      <c r="AZ38" s="1053"/>
    </row>
    <row r="39" spans="3:47" s="14" customFormat="1" ht="6" customHeight="1">
      <c r="C39" s="246"/>
      <c r="D39" s="246"/>
      <c r="E39" s="246"/>
      <c r="F39" s="246"/>
      <c r="G39" s="246"/>
      <c r="H39" s="246"/>
      <c r="I39" s="247"/>
      <c r="J39" s="246"/>
      <c r="K39" s="251"/>
      <c r="L39" s="246"/>
      <c r="M39" s="252"/>
      <c r="N39" s="246"/>
      <c r="O39" s="247"/>
      <c r="P39" s="246"/>
      <c r="Q39" s="247"/>
      <c r="R39" s="246"/>
      <c r="S39" s="247"/>
      <c r="T39" s="246"/>
      <c r="U39" s="247"/>
      <c r="V39" s="246"/>
      <c r="W39" s="247"/>
      <c r="X39" s="246"/>
      <c r="Y39" s="247"/>
      <c r="Z39" s="247"/>
      <c r="AA39" s="246"/>
      <c r="AB39" s="247"/>
      <c r="AC39" s="246"/>
      <c r="AD39" s="247"/>
      <c r="AE39" s="246"/>
      <c r="AF39" s="247"/>
      <c r="AG39" s="246"/>
      <c r="AH39" s="247"/>
      <c r="AI39" s="246"/>
      <c r="AJ39" s="247"/>
      <c r="AK39" s="246"/>
      <c r="AL39" s="247"/>
      <c r="AM39" s="246"/>
      <c r="AN39" s="247"/>
      <c r="AO39" s="246"/>
      <c r="AP39" s="247"/>
      <c r="AQ39" s="246"/>
      <c r="AR39" s="246"/>
      <c r="AS39" s="246"/>
      <c r="AU39" s="15"/>
    </row>
    <row r="40" spans="2:52" s="14" customFormat="1" ht="15.75">
      <c r="B40" s="1" t="s">
        <v>24</v>
      </c>
      <c r="I40" s="42"/>
      <c r="K40" s="15"/>
      <c r="M40" s="76"/>
      <c r="O40" s="42"/>
      <c r="Q40" s="42"/>
      <c r="S40" s="42"/>
      <c r="U40" s="42"/>
      <c r="W40" s="42"/>
      <c r="Y40" s="42"/>
      <c r="Z40" s="42"/>
      <c r="AB40" s="42"/>
      <c r="AD40" s="42"/>
      <c r="AF40" s="42"/>
      <c r="AH40" s="42"/>
      <c r="AJ40" s="42"/>
      <c r="AL40" s="42"/>
      <c r="AN40" s="42"/>
      <c r="AP40" s="42"/>
      <c r="AU40" s="15"/>
      <c r="AZ40" s="1053" t="s">
        <v>287</v>
      </c>
    </row>
    <row r="41" spans="3:52" s="14" customFormat="1" ht="15">
      <c r="C41" s="14" t="s">
        <v>25</v>
      </c>
      <c r="E41" s="14">
        <v>2013</v>
      </c>
      <c r="G41" s="14" t="s">
        <v>99</v>
      </c>
      <c r="I41" s="43" t="s">
        <v>133</v>
      </c>
      <c r="J41" s="246"/>
      <c r="K41" s="25">
        <v>283</v>
      </c>
      <c r="L41" s="246"/>
      <c r="M41" s="84">
        <v>424.752</v>
      </c>
      <c r="N41" s="25">
        <v>791.454</v>
      </c>
      <c r="O41" s="51">
        <v>388</v>
      </c>
      <c r="P41" s="25">
        <v>109.069</v>
      </c>
      <c r="Q41" s="51">
        <v>601.0649999999999</v>
      </c>
      <c r="R41" s="25">
        <v>2813.798</v>
      </c>
      <c r="S41" s="51">
        <v>444.42499999999995</v>
      </c>
      <c r="T41" s="25">
        <v>92.2</v>
      </c>
      <c r="U41" s="51">
        <v>1315.836</v>
      </c>
      <c r="V41" s="25">
        <v>5070.174</v>
      </c>
      <c r="W41" s="51">
        <v>526.098</v>
      </c>
      <c r="X41" s="25">
        <v>6553.724999999999</v>
      </c>
      <c r="Y41" s="51">
        <v>141.491</v>
      </c>
      <c r="Z41" s="51">
        <v>462.649</v>
      </c>
      <c r="AA41" s="25">
        <v>317.849</v>
      </c>
      <c r="AB41" s="51">
        <v>4087.589</v>
      </c>
      <c r="AC41" s="25">
        <v>143.038</v>
      </c>
      <c r="AD41" s="51">
        <v>37.659</v>
      </c>
      <c r="AE41" s="25">
        <v>79.899</v>
      </c>
      <c r="AF41" s="51">
        <v>43.382000000000005</v>
      </c>
      <c r="AG41" s="25">
        <v>951.278</v>
      </c>
      <c r="AH41" s="51">
        <v>3242.484</v>
      </c>
      <c r="AI41" s="25">
        <v>1258.3999999999999</v>
      </c>
      <c r="AJ41" s="51">
        <v>761.554</v>
      </c>
      <c r="AK41" s="25">
        <v>565.182</v>
      </c>
      <c r="AL41" s="51">
        <v>84.938</v>
      </c>
      <c r="AM41" s="25">
        <v>289.40099999999995</v>
      </c>
      <c r="AN41" s="51">
        <v>3940.2980000000002</v>
      </c>
      <c r="AO41" s="25"/>
      <c r="AP41" s="59">
        <v>35537.687000000005</v>
      </c>
      <c r="AQ41" s="91">
        <v>29098.516999999996</v>
      </c>
      <c r="AR41" s="250"/>
      <c r="AS41" s="246"/>
      <c r="AT41" s="25">
        <v>283</v>
      </c>
      <c r="AU41" s="36">
        <v>3822.8</v>
      </c>
      <c r="AV41" s="25">
        <f>AU41+(117.498)</f>
        <v>3940.2980000000002</v>
      </c>
      <c r="AX41" s="25">
        <v>-5810.6</v>
      </c>
      <c r="AZ41" s="1053"/>
    </row>
    <row r="42" spans="3:53" s="14" customFormat="1" ht="15.75" customHeight="1">
      <c r="C42" s="14" t="s">
        <v>39</v>
      </c>
      <c r="E42" s="14">
        <v>2013</v>
      </c>
      <c r="G42" s="14" t="s">
        <v>99</v>
      </c>
      <c r="I42" s="44" t="s">
        <v>26</v>
      </c>
      <c r="K42" s="24">
        <f>K41/5.314</f>
        <v>53.25555137372977</v>
      </c>
      <c r="M42" s="74">
        <f>M41/M11</f>
        <v>49.92509214500694</v>
      </c>
      <c r="N42" s="24">
        <f aca="true" t="shared" si="5" ref="N42:AQ42">N41/N11</f>
        <v>70.64035747258656</v>
      </c>
      <c r="O42" s="49">
        <f t="shared" si="5"/>
        <v>53.54917145768436</v>
      </c>
      <c r="P42" s="24">
        <f t="shared" si="5"/>
        <v>127.12004662004662</v>
      </c>
      <c r="Q42" s="49">
        <f t="shared" si="5"/>
        <v>57.176659339777075</v>
      </c>
      <c r="R42" s="24">
        <f t="shared" si="5"/>
        <v>34.83285466699678</v>
      </c>
      <c r="S42" s="49">
        <f t="shared" si="5"/>
        <v>78.97750849218133</v>
      </c>
      <c r="T42" s="24">
        <f t="shared" si="5"/>
        <v>70.07042761960422</v>
      </c>
      <c r="U42" s="49">
        <f t="shared" si="5"/>
        <v>119.70210111557887</v>
      </c>
      <c r="V42" s="24">
        <f t="shared" si="5"/>
        <v>109.01780692082355</v>
      </c>
      <c r="W42" s="49">
        <f t="shared" si="5"/>
        <v>96.50925380691105</v>
      </c>
      <c r="X42" s="24">
        <f t="shared" si="5"/>
        <v>102.51631006888184</v>
      </c>
      <c r="Y42" s="49">
        <f t="shared" si="5"/>
        <v>33.31787034638661</v>
      </c>
      <c r="Z42" s="49">
        <f t="shared" si="5"/>
        <v>46.83156189897763</v>
      </c>
      <c r="AA42" s="24">
        <f t="shared" si="5"/>
        <v>69.03714116483629</v>
      </c>
      <c r="AB42" s="49">
        <f t="shared" si="5"/>
        <v>67.24925269815402</v>
      </c>
      <c r="AC42" s="24">
        <f t="shared" si="5"/>
        <v>48.59499258019102</v>
      </c>
      <c r="AD42" s="49">
        <f t="shared" si="5"/>
        <v>68.51076990248873</v>
      </c>
      <c r="AE42" s="24">
        <f t="shared" si="5"/>
        <v>39.920198574246506</v>
      </c>
      <c r="AF42" s="49">
        <f t="shared" si="5"/>
        <v>101.98314934271154</v>
      </c>
      <c r="AG42" s="24">
        <f t="shared" si="5"/>
        <v>56.5251449422492</v>
      </c>
      <c r="AH42" s="49">
        <f t="shared" si="5"/>
        <v>84.2298608266454</v>
      </c>
      <c r="AI42" s="24">
        <f t="shared" si="5"/>
        <v>120.68319500894813</v>
      </c>
      <c r="AJ42" s="49">
        <f t="shared" si="5"/>
        <v>38.187217119978385</v>
      </c>
      <c r="AK42" s="24">
        <f t="shared" si="5"/>
        <v>58.59927107318465</v>
      </c>
      <c r="AL42" s="49">
        <f t="shared" si="5"/>
        <v>41.21033339236374</v>
      </c>
      <c r="AM42" s="24">
        <f t="shared" si="5"/>
        <v>53.43495664379409</v>
      </c>
      <c r="AN42" s="49">
        <f t="shared" si="5"/>
        <v>61.27203470795144</v>
      </c>
      <c r="AO42" s="24"/>
      <c r="AP42" s="49">
        <f t="shared" si="5"/>
        <v>70.30363608235317</v>
      </c>
      <c r="AQ42" s="24">
        <f t="shared" si="5"/>
        <v>72.7198711892008</v>
      </c>
      <c r="AR42" s="24"/>
      <c r="AS42" s="24"/>
      <c r="AT42" s="24">
        <f>K42</f>
        <v>53.25555137372977</v>
      </c>
      <c r="AU42" s="24">
        <f>AU41/AU11</f>
        <v>60.91504441931796</v>
      </c>
      <c r="AV42" s="24">
        <f>AV41/AV11</f>
        <v>60.99839199345504</v>
      </c>
      <c r="AZ42" s="1053"/>
      <c r="BA42" s="14">
        <f>RANK(K42,K42:AN42,1)</f>
        <v>9</v>
      </c>
    </row>
    <row r="43" spans="9:47" s="14" customFormat="1" ht="6" customHeight="1">
      <c r="I43" s="44"/>
      <c r="K43" s="36"/>
      <c r="M43" s="74"/>
      <c r="N43" s="24"/>
      <c r="O43" s="49"/>
      <c r="P43" s="24"/>
      <c r="Q43" s="49"/>
      <c r="R43" s="24"/>
      <c r="S43" s="49"/>
      <c r="T43" s="24"/>
      <c r="U43" s="49"/>
      <c r="V43" s="24"/>
      <c r="W43" s="49"/>
      <c r="X43" s="24"/>
      <c r="Y43" s="49"/>
      <c r="Z43" s="49"/>
      <c r="AA43" s="24"/>
      <c r="AB43" s="49"/>
      <c r="AC43" s="24"/>
      <c r="AD43" s="49"/>
      <c r="AE43" s="24"/>
      <c r="AF43" s="49"/>
      <c r="AG43" s="24"/>
      <c r="AH43" s="49"/>
      <c r="AI43" s="24"/>
      <c r="AJ43" s="49"/>
      <c r="AK43" s="24"/>
      <c r="AL43" s="49"/>
      <c r="AM43" s="24"/>
      <c r="AN43" s="49"/>
      <c r="AO43" s="24"/>
      <c r="AP43" s="49"/>
      <c r="AQ43" s="24"/>
      <c r="AR43" s="24"/>
      <c r="AS43" s="24"/>
      <c r="AT43" s="24"/>
      <c r="AU43" s="36"/>
    </row>
    <row r="44" spans="2:52" s="14" customFormat="1" ht="14.25" customHeight="1">
      <c r="B44" s="1" t="s">
        <v>238</v>
      </c>
      <c r="I44" s="43"/>
      <c r="J44" s="246"/>
      <c r="K44" s="36"/>
      <c r="L44" s="246"/>
      <c r="M44" s="84"/>
      <c r="N44" s="25"/>
      <c r="O44" s="51"/>
      <c r="P44" s="25"/>
      <c r="Q44" s="51"/>
      <c r="R44" s="25"/>
      <c r="S44" s="51"/>
      <c r="T44" s="25"/>
      <c r="U44" s="51"/>
      <c r="V44" s="25"/>
      <c r="W44" s="51"/>
      <c r="X44" s="25"/>
      <c r="Y44" s="51"/>
      <c r="Z44" s="51"/>
      <c r="AA44" s="25"/>
      <c r="AB44" s="51"/>
      <c r="AC44" s="25"/>
      <c r="AD44" s="51"/>
      <c r="AE44" s="25"/>
      <c r="AF44" s="51"/>
      <c r="AG44" s="25"/>
      <c r="AH44" s="51"/>
      <c r="AI44" s="25"/>
      <c r="AJ44" s="51"/>
      <c r="AK44" s="25"/>
      <c r="AL44" s="51"/>
      <c r="AM44" s="25"/>
      <c r="AN44" s="51"/>
      <c r="AO44" s="25"/>
      <c r="AP44" s="59"/>
      <c r="AU44" s="15"/>
      <c r="AZ44" s="1052" t="s">
        <v>297</v>
      </c>
    </row>
    <row r="45" spans="3:52" s="14" customFormat="1" ht="15">
      <c r="C45" s="14" t="s">
        <v>25</v>
      </c>
      <c r="E45" s="14">
        <v>2014</v>
      </c>
      <c r="I45" s="43" t="s">
        <v>132</v>
      </c>
      <c r="J45" s="246"/>
      <c r="K45" s="36">
        <v>222.414</v>
      </c>
      <c r="L45" s="246"/>
      <c r="M45" s="84">
        <v>303.318</v>
      </c>
      <c r="N45" s="25">
        <v>482.939</v>
      </c>
      <c r="O45" s="51">
        <v>20.359</v>
      </c>
      <c r="P45" s="25">
        <v>8.283</v>
      </c>
      <c r="Q45" s="51">
        <v>192.314</v>
      </c>
      <c r="R45" s="25">
        <v>3036.773</v>
      </c>
      <c r="S45" s="51">
        <v>189.051</v>
      </c>
      <c r="T45" s="25">
        <v>20.861</v>
      </c>
      <c r="U45" s="51">
        <v>71.218</v>
      </c>
      <c r="V45" s="25">
        <v>855.308</v>
      </c>
      <c r="W45" s="51">
        <v>106.236</v>
      </c>
      <c r="X45" s="25">
        <v>1795.885</v>
      </c>
      <c r="Y45" s="51">
        <v>33.919</v>
      </c>
      <c r="Z45" s="51">
        <v>67.476</v>
      </c>
      <c r="AA45" s="25">
        <v>96.344</v>
      </c>
      <c r="AB45" s="51">
        <v>1359.616</v>
      </c>
      <c r="AC45" s="25">
        <v>14.503</v>
      </c>
      <c r="AD45" s="51">
        <v>49.793</v>
      </c>
      <c r="AE45" s="25">
        <v>12.452</v>
      </c>
      <c r="AF45" s="51">
        <v>6.451</v>
      </c>
      <c r="AG45" s="25">
        <v>387.835</v>
      </c>
      <c r="AH45" s="51">
        <v>327.219</v>
      </c>
      <c r="AI45" s="25">
        <v>142.827</v>
      </c>
      <c r="AJ45" s="51">
        <v>70.172</v>
      </c>
      <c r="AK45" s="25">
        <v>303.948</v>
      </c>
      <c r="AL45" s="51">
        <v>53.296</v>
      </c>
      <c r="AM45" s="25">
        <v>72.249</v>
      </c>
      <c r="AN45" s="51">
        <v>2476.435</v>
      </c>
      <c r="AO45" s="25"/>
      <c r="AP45" s="59">
        <v>12557.079999999998</v>
      </c>
      <c r="AQ45" s="550">
        <v>11657.525999999998</v>
      </c>
      <c r="AR45" s="246"/>
      <c r="AS45" s="246"/>
      <c r="AT45" s="24">
        <f>K45</f>
        <v>222.414</v>
      </c>
      <c r="AU45" s="379">
        <v>2438.34</v>
      </c>
      <c r="AV45" s="384">
        <f>AU45+59.232</f>
        <v>2497.572</v>
      </c>
      <c r="AX45" s="25">
        <v>-880.3000000000011</v>
      </c>
      <c r="AZ45" s="1052"/>
    </row>
    <row r="46" spans="3:53" s="14" customFormat="1" ht="15">
      <c r="C46" s="14" t="s">
        <v>39</v>
      </c>
      <c r="E46" s="14">
        <v>2014</v>
      </c>
      <c r="I46" s="43" t="s">
        <v>26</v>
      </c>
      <c r="J46" s="246"/>
      <c r="K46" s="36">
        <f>K45/K11</f>
        <v>41.59136809035829</v>
      </c>
      <c r="L46" s="246"/>
      <c r="M46" s="84">
        <f>M45/M11</f>
        <v>35.651813527044524</v>
      </c>
      <c r="N46" s="25">
        <f aca="true" t="shared" si="6" ref="N46:AQ46">N45/N11</f>
        <v>43.10419000656195</v>
      </c>
      <c r="O46" s="51">
        <f t="shared" si="6"/>
        <v>2.809813354914938</v>
      </c>
      <c r="P46" s="25">
        <f t="shared" si="6"/>
        <v>9.653846153846153</v>
      </c>
      <c r="Q46" s="51">
        <f>Q45/Q11</f>
        <v>18.293981623068866</v>
      </c>
      <c r="R46" s="25">
        <f t="shared" si="6"/>
        <v>37.59312948749691</v>
      </c>
      <c r="S46" s="51">
        <f t="shared" si="6"/>
        <v>33.59571796806069</v>
      </c>
      <c r="T46" s="25">
        <f t="shared" si="6"/>
        <v>15.85400423614494</v>
      </c>
      <c r="U46" s="51">
        <f t="shared" si="6"/>
        <v>6.478728532468557</v>
      </c>
      <c r="V46" s="25">
        <f t="shared" si="6"/>
        <v>18.390651366567646</v>
      </c>
      <c r="W46" s="51">
        <f t="shared" si="6"/>
        <v>19.488302725786834</v>
      </c>
      <c r="X46" s="25">
        <f t="shared" si="6"/>
        <v>28.09203979539176</v>
      </c>
      <c r="Y46" s="51">
        <f t="shared" si="6"/>
        <v>7.987142958061553</v>
      </c>
      <c r="Z46" s="51">
        <f t="shared" si="6"/>
        <v>6.8302459763133925</v>
      </c>
      <c r="AA46" s="25">
        <f t="shared" si="6"/>
        <v>20.9260193626061</v>
      </c>
      <c r="AB46" s="51">
        <f t="shared" si="6"/>
        <v>22.368481752067876</v>
      </c>
      <c r="AC46" s="25">
        <f t="shared" si="6"/>
        <v>4.927174438893933</v>
      </c>
      <c r="AD46" s="51">
        <f t="shared" si="6"/>
        <v>90.58543152379568</v>
      </c>
      <c r="AE46" s="25">
        <f t="shared" si="6"/>
        <v>6.2214334678346095</v>
      </c>
      <c r="AF46" s="51">
        <f t="shared" si="6"/>
        <v>15.165121396197318</v>
      </c>
      <c r="AG46" s="25">
        <f t="shared" si="6"/>
        <v>23.045239760277454</v>
      </c>
      <c r="AH46" s="51">
        <f t="shared" si="6"/>
        <v>8.50015322506883</v>
      </c>
      <c r="AI46" s="25">
        <f t="shared" si="6"/>
        <v>13.697408370584103</v>
      </c>
      <c r="AJ46" s="51">
        <f t="shared" si="6"/>
        <v>3.5186912546492084</v>
      </c>
      <c r="AK46" s="25">
        <f t="shared" si="6"/>
        <v>31.513974691607885</v>
      </c>
      <c r="AL46" s="51">
        <f t="shared" si="6"/>
        <v>25.858225158108475</v>
      </c>
      <c r="AM46" s="25">
        <f t="shared" si="6"/>
        <v>13.34004437634106</v>
      </c>
      <c r="AN46" s="51">
        <f t="shared" si="6"/>
        <v>38.508816153495424</v>
      </c>
      <c r="AO46" s="25"/>
      <c r="AP46" s="59">
        <f t="shared" si="6"/>
        <v>24.841469918315028</v>
      </c>
      <c r="AQ46" s="26">
        <f t="shared" si="6"/>
        <v>29.13323002353554</v>
      </c>
      <c r="AR46" s="250"/>
      <c r="AS46" s="250"/>
      <c r="AT46" s="26">
        <f>K46</f>
        <v>41.59136809035829</v>
      </c>
      <c r="AU46" s="26">
        <f>AU45/AU11</f>
        <v>38.85413555754938</v>
      </c>
      <c r="AV46" s="26">
        <f>AV45/AV11</f>
        <v>38.66404923888434</v>
      </c>
      <c r="AZ46" s="1052"/>
      <c r="BA46" s="14">
        <f>RANK(K46,K46:AN46,0)</f>
        <v>3</v>
      </c>
    </row>
    <row r="47" spans="9:42" s="14" customFormat="1" ht="6" customHeight="1">
      <c r="I47" s="43"/>
      <c r="J47" s="246"/>
      <c r="K47" s="36"/>
      <c r="L47" s="246"/>
      <c r="M47" s="84"/>
      <c r="N47" s="25"/>
      <c r="O47" s="51"/>
      <c r="P47" s="25"/>
      <c r="Q47" s="51"/>
      <c r="R47" s="25"/>
      <c r="S47" s="51"/>
      <c r="T47" s="25"/>
      <c r="U47" s="51"/>
      <c r="V47" s="25"/>
      <c r="W47" s="51"/>
      <c r="X47" s="25"/>
      <c r="Y47" s="51"/>
      <c r="Z47" s="51"/>
      <c r="AA47" s="25"/>
      <c r="AB47" s="51"/>
      <c r="AC47" s="25"/>
      <c r="AD47" s="51"/>
      <c r="AE47" s="25"/>
      <c r="AF47" s="51"/>
      <c r="AG47" s="25"/>
      <c r="AH47" s="51"/>
      <c r="AI47" s="25"/>
      <c r="AJ47" s="51"/>
      <c r="AK47" s="25"/>
      <c r="AL47" s="51"/>
      <c r="AM47" s="25"/>
      <c r="AN47" s="51"/>
      <c r="AO47" s="25"/>
      <c r="AP47" s="59"/>
    </row>
    <row r="48" spans="1:42" s="14" customFormat="1" ht="18.75">
      <c r="A48" s="1" t="s">
        <v>298</v>
      </c>
      <c r="I48" s="42"/>
      <c r="K48" s="15"/>
      <c r="M48" s="76"/>
      <c r="O48" s="42"/>
      <c r="Q48" s="42"/>
      <c r="S48" s="42"/>
      <c r="U48" s="42"/>
      <c r="W48" s="42"/>
      <c r="Y48" s="42"/>
      <c r="Z48" s="42"/>
      <c r="AB48" s="42"/>
      <c r="AD48" s="42"/>
      <c r="AF48" s="42"/>
      <c r="AH48" s="42"/>
      <c r="AJ48" s="42"/>
      <c r="AL48" s="42"/>
      <c r="AN48" s="42"/>
      <c r="AP48" s="42"/>
    </row>
    <row r="49" spans="1:42" s="14" customFormat="1" ht="6" customHeight="1">
      <c r="A49" s="1"/>
      <c r="I49" s="42"/>
      <c r="K49" s="15"/>
      <c r="M49" s="76"/>
      <c r="O49" s="42"/>
      <c r="Q49" s="42"/>
      <c r="S49" s="42"/>
      <c r="U49" s="42"/>
      <c r="W49" s="42"/>
      <c r="Y49" s="42"/>
      <c r="Z49" s="42"/>
      <c r="AB49" s="42"/>
      <c r="AD49" s="42"/>
      <c r="AF49" s="42"/>
      <c r="AH49" s="42"/>
      <c r="AJ49" s="42"/>
      <c r="AL49" s="42"/>
      <c r="AN49" s="42"/>
      <c r="AP49" s="42"/>
    </row>
    <row r="50" spans="1:42" s="14" customFormat="1" ht="15.75">
      <c r="A50" s="1"/>
      <c r="B50" s="1" t="s">
        <v>111</v>
      </c>
      <c r="I50" s="42"/>
      <c r="K50" s="15"/>
      <c r="M50" s="76"/>
      <c r="O50" s="42"/>
      <c r="Q50" s="42"/>
      <c r="S50" s="42"/>
      <c r="U50" s="42"/>
      <c r="W50" s="42"/>
      <c r="Y50" s="42"/>
      <c r="Z50" s="42"/>
      <c r="AB50" s="42"/>
      <c r="AD50" s="42"/>
      <c r="AF50" s="42"/>
      <c r="AH50" s="42"/>
      <c r="AJ50" s="42"/>
      <c r="AL50" s="42"/>
      <c r="AN50" s="42"/>
      <c r="AP50" s="42"/>
    </row>
    <row r="51" spans="1:52" s="14" customFormat="1" ht="18.75">
      <c r="A51" s="1"/>
      <c r="C51" s="14" t="s">
        <v>23</v>
      </c>
      <c r="E51" s="14">
        <v>2013</v>
      </c>
      <c r="G51" s="62"/>
      <c r="I51" s="43" t="s">
        <v>288</v>
      </c>
      <c r="K51" s="36">
        <v>8557</v>
      </c>
      <c r="L51" s="25"/>
      <c r="M51" s="88">
        <v>8854.500666125563</v>
      </c>
      <c r="N51" s="28">
        <v>9841.274329282847</v>
      </c>
      <c r="O51" s="55">
        <v>7051.101291008356</v>
      </c>
      <c r="P51" s="28">
        <v>6838.311439278831</v>
      </c>
      <c r="Q51" s="54">
        <v>6147.701743750668</v>
      </c>
      <c r="R51" s="28">
        <v>10964.321660839796</v>
      </c>
      <c r="S51" s="54">
        <v>9500.363043914393</v>
      </c>
      <c r="T51" s="28">
        <v>8488.83943141977</v>
      </c>
      <c r="U51" s="54">
        <v>8660.909371999289</v>
      </c>
      <c r="V51" s="28">
        <v>6777.511830386182</v>
      </c>
      <c r="W51" s="54">
        <v>11999.062409129421</v>
      </c>
      <c r="X51" s="28">
        <v>12644.578510988562</v>
      </c>
      <c r="Y51" s="54">
        <v>6134.242422820462</v>
      </c>
      <c r="Z51" s="54">
        <v>5230.099553951952</v>
      </c>
      <c r="AA51" s="28">
        <v>10465.168706234492</v>
      </c>
      <c r="AB51" s="54">
        <v>10393.99582077488</v>
      </c>
      <c r="AC51" s="28">
        <v>11213.34632163545</v>
      </c>
      <c r="AD51" s="54">
        <v>12756.858533081944</v>
      </c>
      <c r="AE51" s="28">
        <v>5797.6356651390315</v>
      </c>
      <c r="AF51" s="54">
        <v>5437.662833803478</v>
      </c>
      <c r="AG51" s="28">
        <v>8665.296945840402</v>
      </c>
      <c r="AH51" s="54">
        <v>5530.2817441091665</v>
      </c>
      <c r="AI51" s="28">
        <v>7806.205900431746</v>
      </c>
      <c r="AJ51" s="55">
        <v>4014.1419220556368</v>
      </c>
      <c r="AK51" s="28">
        <v>11260.067478779849</v>
      </c>
      <c r="AL51" s="54">
        <v>12224.644506041344</v>
      </c>
      <c r="AM51" s="28">
        <v>5018.632980190123</v>
      </c>
      <c r="AN51" s="71">
        <v>9979.819803935065</v>
      </c>
      <c r="AO51" s="29"/>
      <c r="AP51" s="60">
        <v>9247.099742546823</v>
      </c>
      <c r="AQ51" s="28">
        <v>10178.45195592601</v>
      </c>
      <c r="AR51" s="78"/>
      <c r="AS51" s="78"/>
      <c r="AT51" s="25">
        <f aca="true" t="shared" si="7" ref="AT51:AT57">K51</f>
        <v>8557</v>
      </c>
      <c r="AU51" s="368">
        <v>8684</v>
      </c>
      <c r="AZ51" s="1053" t="s">
        <v>303</v>
      </c>
    </row>
    <row r="52" spans="1:52" s="14" customFormat="1" ht="15.75">
      <c r="A52" s="1"/>
      <c r="C52" s="14" t="s">
        <v>29</v>
      </c>
      <c r="E52" s="14">
        <v>2002</v>
      </c>
      <c r="G52" s="62"/>
      <c r="I52" s="42" t="s">
        <v>94</v>
      </c>
      <c r="K52" s="92">
        <v>55</v>
      </c>
      <c r="L52" s="25"/>
      <c r="M52" s="88">
        <v>198.40309702395353</v>
      </c>
      <c r="N52" s="28">
        <v>99.89534773094854</v>
      </c>
      <c r="O52" s="55" t="s">
        <v>142</v>
      </c>
      <c r="P52" s="92" t="s">
        <v>142</v>
      </c>
      <c r="Q52" s="55" t="s">
        <v>142</v>
      </c>
      <c r="R52" s="28">
        <v>217.13287561561415</v>
      </c>
      <c r="S52" s="54">
        <v>143.69933677229182</v>
      </c>
      <c r="T52" s="92" t="s">
        <v>142</v>
      </c>
      <c r="U52" s="54">
        <v>2013.4831460674156</v>
      </c>
      <c r="V52" s="28">
        <v>334.0339974410528</v>
      </c>
      <c r="W52" s="54">
        <v>171.23287671232876</v>
      </c>
      <c r="X52" s="28">
        <v>201.49070357932672</v>
      </c>
      <c r="Y52" s="56" t="s">
        <v>142</v>
      </c>
      <c r="Z52" s="56" t="s">
        <v>142</v>
      </c>
      <c r="AA52" s="28">
        <v>92.65858873841769</v>
      </c>
      <c r="AB52" s="54">
        <v>1188.044662309368</v>
      </c>
      <c r="AC52" s="30" t="s">
        <v>142</v>
      </c>
      <c r="AD52" s="54">
        <v>130.43478260869566</v>
      </c>
      <c r="AE52" s="30" t="s">
        <v>142</v>
      </c>
      <c r="AF52" s="55" t="s">
        <v>142</v>
      </c>
      <c r="AG52" s="28">
        <v>55.09979184523081</v>
      </c>
      <c r="AH52" s="55" t="s">
        <v>142</v>
      </c>
      <c r="AI52" s="28">
        <v>754.0208136234626</v>
      </c>
      <c r="AJ52" s="55" t="s">
        <v>142</v>
      </c>
      <c r="AK52" s="28">
        <v>110.53387863380125</v>
      </c>
      <c r="AL52" s="55" t="s">
        <v>142</v>
      </c>
      <c r="AM52" s="30" t="s">
        <v>142</v>
      </c>
      <c r="AN52" s="71">
        <v>85</v>
      </c>
      <c r="AO52" s="29"/>
      <c r="AP52" s="60" t="s">
        <v>142</v>
      </c>
      <c r="AQ52" s="28">
        <v>404.66124266920576</v>
      </c>
      <c r="AR52" s="25"/>
      <c r="AS52" s="25"/>
      <c r="AT52" s="25">
        <f t="shared" si="7"/>
        <v>55</v>
      </c>
      <c r="AU52" s="25">
        <v>57.936</v>
      </c>
      <c r="AZ52" s="1053"/>
    </row>
    <row r="53" spans="1:52" s="14" customFormat="1" ht="18.75">
      <c r="A53" s="1"/>
      <c r="C53" s="14" t="s">
        <v>32</v>
      </c>
      <c r="E53" s="14">
        <v>2013</v>
      </c>
      <c r="G53" s="62"/>
      <c r="I53" s="43" t="s">
        <v>289</v>
      </c>
      <c r="K53" s="36">
        <v>651</v>
      </c>
      <c r="L53" s="25"/>
      <c r="M53" s="88">
        <v>1126.0243307390326</v>
      </c>
      <c r="N53" s="28">
        <v>1927.6644063660165</v>
      </c>
      <c r="O53" s="55">
        <v>1416.2847626044813</v>
      </c>
      <c r="P53" s="28">
        <v>1554.9441140090005</v>
      </c>
      <c r="Q53" s="54">
        <v>1494.9327817993794</v>
      </c>
      <c r="R53" s="28">
        <v>737.6197714675944</v>
      </c>
      <c r="S53" s="54">
        <v>1167.8448042597151</v>
      </c>
      <c r="T53" s="28">
        <v>1822.6066451592449</v>
      </c>
      <c r="U53" s="54">
        <v>1900.8464032855695</v>
      </c>
      <c r="V53" s="28">
        <v>1109.833379824405</v>
      </c>
      <c r="W53" s="54">
        <v>1389.4330118227113</v>
      </c>
      <c r="X53" s="28">
        <v>821.1676554789854</v>
      </c>
      <c r="Y53" s="54">
        <v>822.8260920570418</v>
      </c>
      <c r="Z53" s="54">
        <v>1730.7684948265166</v>
      </c>
      <c r="AA53" s="28">
        <v>1771.4323427109964</v>
      </c>
      <c r="AB53" s="54">
        <v>1718.3146509604464</v>
      </c>
      <c r="AC53" s="28">
        <v>957.9714021814291</v>
      </c>
      <c r="AD53" s="54">
        <v>1911.3302660777913</v>
      </c>
      <c r="AE53" s="28">
        <v>1145.850061146591</v>
      </c>
      <c r="AF53" s="54">
        <v>1111.8036291614283</v>
      </c>
      <c r="AG53" s="28">
        <v>697.5376888218134</v>
      </c>
      <c r="AH53" s="54">
        <v>980.9697321789135</v>
      </c>
      <c r="AI53" s="28">
        <v>602.1575261251979</v>
      </c>
      <c r="AJ53" s="55">
        <v>645.5021095326621</v>
      </c>
      <c r="AK53" s="28">
        <v>906.83235304206</v>
      </c>
      <c r="AL53" s="54">
        <v>1613.6906398784358</v>
      </c>
      <c r="AM53" s="28">
        <v>971.6602388244626</v>
      </c>
      <c r="AN53" s="71">
        <v>655.7523701261694</v>
      </c>
      <c r="AO53" s="29"/>
      <c r="AP53" s="60">
        <v>1041.9901434411938</v>
      </c>
      <c r="AQ53" s="28">
        <v>1028.5881426748929</v>
      </c>
      <c r="AR53" s="25"/>
      <c r="AS53" s="25"/>
      <c r="AT53" s="25">
        <f t="shared" si="7"/>
        <v>651</v>
      </c>
      <c r="AU53" s="25">
        <v>564.88</v>
      </c>
      <c r="AZ53" s="1053"/>
    </row>
    <row r="54" spans="1:52" s="14" customFormat="1" ht="18.75">
      <c r="A54" s="1"/>
      <c r="C54" s="14" t="s">
        <v>46</v>
      </c>
      <c r="E54" s="14">
        <v>2013</v>
      </c>
      <c r="G54" s="62"/>
      <c r="I54" s="42" t="s">
        <v>290</v>
      </c>
      <c r="K54" s="36">
        <v>0</v>
      </c>
      <c r="L54" s="25"/>
      <c r="M54" s="88">
        <v>492.43598450518584</v>
      </c>
      <c r="N54" s="28">
        <v>111.05127118154253</v>
      </c>
      <c r="O54" s="55">
        <v>138.6495696646822</v>
      </c>
      <c r="P54" s="92" t="s">
        <v>302</v>
      </c>
      <c r="Q54" s="54">
        <v>911.0675272498189</v>
      </c>
      <c r="R54" s="28">
        <v>203.60744104973267</v>
      </c>
      <c r="S54" s="54">
        <v>50.69049738801148</v>
      </c>
      <c r="T54" s="28">
        <v>93.56048317982903</v>
      </c>
      <c r="U54" s="54">
        <v>150.4189191513175</v>
      </c>
      <c r="V54" s="28">
        <v>123.05831245006705</v>
      </c>
      <c r="W54" s="54">
        <v>96.7443410088758</v>
      </c>
      <c r="X54" s="28">
        <v>238.0841302844281</v>
      </c>
      <c r="Y54" s="54">
        <v>125.004809790387</v>
      </c>
      <c r="Z54" s="54">
        <v>253.3596305021053</v>
      </c>
      <c r="AA54" s="28">
        <v>32.633825061472365</v>
      </c>
      <c r="AB54" s="54">
        <v>115.87456976581493</v>
      </c>
      <c r="AC54" s="92" t="s">
        <v>302</v>
      </c>
      <c r="AD54" s="55" t="s">
        <v>302</v>
      </c>
      <c r="AE54" s="28">
        <v>65.59954541524094</v>
      </c>
      <c r="AF54" s="55" t="s">
        <v>302</v>
      </c>
      <c r="AG54" s="28">
        <v>86.85788854067322</v>
      </c>
      <c r="AH54" s="54">
        <v>106.40565451120146</v>
      </c>
      <c r="AI54" s="28">
        <v>89.75589401607984</v>
      </c>
      <c r="AJ54" s="55">
        <v>387.1972751227908</v>
      </c>
      <c r="AK54" s="28">
        <v>258.16530176719226</v>
      </c>
      <c r="AL54" s="55" t="s">
        <v>302</v>
      </c>
      <c r="AM54" s="28">
        <v>50.899177132701865</v>
      </c>
      <c r="AN54" s="71">
        <v>186.9770678075026</v>
      </c>
      <c r="AO54" s="29"/>
      <c r="AP54" s="60">
        <v>188.7818581755839</v>
      </c>
      <c r="AQ54" s="28">
        <v>173.56325281247504</v>
      </c>
      <c r="AR54" s="25"/>
      <c r="AS54" s="25"/>
      <c r="AT54" s="25">
        <f t="shared" si="7"/>
        <v>0</v>
      </c>
      <c r="AU54" s="25">
        <v>117.48</v>
      </c>
      <c r="AZ54" s="1053"/>
    </row>
    <row r="55" spans="1:52" s="31" customFormat="1" ht="18.75">
      <c r="A55" s="244"/>
      <c r="C55" s="15" t="s">
        <v>52</v>
      </c>
      <c r="E55" s="14">
        <v>2013</v>
      </c>
      <c r="G55" s="245"/>
      <c r="I55" s="44" t="s">
        <v>291</v>
      </c>
      <c r="K55" s="36">
        <v>778</v>
      </c>
      <c r="L55" s="36"/>
      <c r="M55" s="88">
        <v>1453.171254611411</v>
      </c>
      <c r="N55" s="28">
        <v>941.7073222739092</v>
      </c>
      <c r="O55" s="55">
        <v>249.98105580137255</v>
      </c>
      <c r="P55" s="92" t="s">
        <v>302</v>
      </c>
      <c r="Q55" s="54">
        <v>714.3315622436971</v>
      </c>
      <c r="R55" s="28">
        <v>1085.0935481093538</v>
      </c>
      <c r="S55" s="54">
        <v>1211.0388196396405</v>
      </c>
      <c r="T55" s="28">
        <v>168.32551588373917</v>
      </c>
      <c r="U55" s="54">
        <v>95.45755808718964</v>
      </c>
      <c r="V55" s="28">
        <v>508.6254569921045</v>
      </c>
      <c r="W55" s="54">
        <v>746.8663125885209</v>
      </c>
      <c r="X55" s="28">
        <v>1371.9265648717662</v>
      </c>
      <c r="Y55" s="54">
        <v>219.37336643094787</v>
      </c>
      <c r="Z55" s="54">
        <v>791.5188098495901</v>
      </c>
      <c r="AA55" s="28">
        <v>341.7491326128213</v>
      </c>
      <c r="AB55" s="54">
        <v>816.600731031818</v>
      </c>
      <c r="AC55" s="28">
        <v>93.54269399593863</v>
      </c>
      <c r="AD55" s="54">
        <v>716.8939313532164</v>
      </c>
      <c r="AE55" s="28">
        <v>356.2560992180648</v>
      </c>
      <c r="AF55" s="55" t="s">
        <v>302</v>
      </c>
      <c r="AG55" s="28">
        <v>1053.006408088405</v>
      </c>
      <c r="AH55" s="54">
        <v>432.32737482456406</v>
      </c>
      <c r="AI55" s="28">
        <v>347.9450218259457</v>
      </c>
      <c r="AJ55" s="55">
        <v>218.88030983302056</v>
      </c>
      <c r="AK55" s="28">
        <v>1240.9096669458313</v>
      </c>
      <c r="AL55" s="54">
        <v>329.80040518335494</v>
      </c>
      <c r="AM55" s="28">
        <v>459.2635962354061</v>
      </c>
      <c r="AN55" s="71">
        <v>969.9500928625173</v>
      </c>
      <c r="AO55" s="29"/>
      <c r="AP55" s="60">
        <v>839.5962126245947</v>
      </c>
      <c r="AQ55" s="28">
        <v>952.5041148778464</v>
      </c>
      <c r="AR55" s="36"/>
      <c r="AS55" s="36"/>
      <c r="AT55" s="36">
        <f t="shared" si="7"/>
        <v>778</v>
      </c>
      <c r="AU55" s="369">
        <v>778.92</v>
      </c>
      <c r="AZ55" s="1053"/>
    </row>
    <row r="56" spans="1:52" s="14" customFormat="1" ht="15.75">
      <c r="A56" s="1"/>
      <c r="C56" s="14" t="s">
        <v>33</v>
      </c>
      <c r="E56" s="14">
        <v>2001</v>
      </c>
      <c r="G56" s="62"/>
      <c r="I56" s="42" t="s">
        <v>94</v>
      </c>
      <c r="K56" s="36">
        <v>56</v>
      </c>
      <c r="L56" s="25"/>
      <c r="M56" s="88">
        <v>136</v>
      </c>
      <c r="N56" s="28">
        <v>322</v>
      </c>
      <c r="O56" s="55" t="s">
        <v>142</v>
      </c>
      <c r="P56" s="30" t="s">
        <v>142</v>
      </c>
      <c r="Q56" s="56" t="s">
        <v>142</v>
      </c>
      <c r="R56" s="28">
        <v>291</v>
      </c>
      <c r="S56" s="54">
        <v>936</v>
      </c>
      <c r="T56" s="30" t="s">
        <v>142</v>
      </c>
      <c r="U56" s="54">
        <v>76</v>
      </c>
      <c r="V56" s="28">
        <v>20</v>
      </c>
      <c r="W56" s="54">
        <v>251</v>
      </c>
      <c r="X56" s="28">
        <v>75</v>
      </c>
      <c r="Y56" s="56" t="s">
        <v>142</v>
      </c>
      <c r="Z56" s="56" t="s">
        <v>142</v>
      </c>
      <c r="AA56" s="28">
        <v>184</v>
      </c>
      <c r="AB56" s="54">
        <v>154</v>
      </c>
      <c r="AC56" s="30" t="s">
        <v>142</v>
      </c>
      <c r="AD56" s="54">
        <v>23</v>
      </c>
      <c r="AE56" s="30" t="s">
        <v>142</v>
      </c>
      <c r="AF56" s="56" t="s">
        <v>142</v>
      </c>
      <c r="AG56" s="28">
        <v>848</v>
      </c>
      <c r="AH56" s="56" t="s">
        <v>142</v>
      </c>
      <c r="AI56" s="28">
        <v>29</v>
      </c>
      <c r="AJ56" s="55" t="s">
        <v>142</v>
      </c>
      <c r="AK56" s="28">
        <v>271</v>
      </c>
      <c r="AL56" s="56" t="s">
        <v>142</v>
      </c>
      <c r="AM56" s="30" t="s">
        <v>142</v>
      </c>
      <c r="AN56" s="71">
        <v>75</v>
      </c>
      <c r="AO56" s="25"/>
      <c r="AP56" s="60" t="s">
        <v>142</v>
      </c>
      <c r="AQ56" s="28">
        <v>185.64083712530282</v>
      </c>
      <c r="AR56" s="25"/>
      <c r="AS56" s="25"/>
      <c r="AT56" s="25">
        <f t="shared" si="7"/>
        <v>56</v>
      </c>
      <c r="AU56" s="25">
        <f>42*1.6</f>
        <v>67.2</v>
      </c>
      <c r="AZ56" s="1053"/>
    </row>
    <row r="57" spans="1:52" s="14" customFormat="1" ht="15.75">
      <c r="A57" s="1"/>
      <c r="C57" s="14" t="s">
        <v>34</v>
      </c>
      <c r="E57" s="14">
        <v>2001</v>
      </c>
      <c r="G57" s="62"/>
      <c r="I57" s="42" t="s">
        <v>94</v>
      </c>
      <c r="K57" s="36">
        <v>288</v>
      </c>
      <c r="L57" s="25"/>
      <c r="M57" s="88">
        <v>419</v>
      </c>
      <c r="N57" s="28">
        <v>380</v>
      </c>
      <c r="O57" s="55" t="s">
        <v>142</v>
      </c>
      <c r="P57" s="30" t="s">
        <v>142</v>
      </c>
      <c r="Q57" s="56" t="s">
        <v>142</v>
      </c>
      <c r="R57" s="28">
        <v>372</v>
      </c>
      <c r="S57" s="54">
        <v>431</v>
      </c>
      <c r="T57" s="30" t="s">
        <v>142</v>
      </c>
      <c r="U57" s="54">
        <v>389</v>
      </c>
      <c r="V57" s="28">
        <v>368</v>
      </c>
      <c r="W57" s="54">
        <v>386</v>
      </c>
      <c r="X57" s="28">
        <v>404</v>
      </c>
      <c r="Y57" s="56" t="s">
        <v>142</v>
      </c>
      <c r="Z57" s="56" t="s">
        <v>142</v>
      </c>
      <c r="AA57" s="28">
        <v>368</v>
      </c>
      <c r="AB57" s="54">
        <v>410</v>
      </c>
      <c r="AC57" s="30" t="s">
        <v>142</v>
      </c>
      <c r="AD57" s="54">
        <v>457</v>
      </c>
      <c r="AE57" s="30" t="s">
        <v>142</v>
      </c>
      <c r="AF57" s="56" t="s">
        <v>142</v>
      </c>
      <c r="AG57" s="28">
        <v>377</v>
      </c>
      <c r="AH57" s="56" t="s">
        <v>142</v>
      </c>
      <c r="AI57" s="28">
        <v>342</v>
      </c>
      <c r="AJ57" s="55" t="s">
        <v>142</v>
      </c>
      <c r="AK57" s="28">
        <v>383</v>
      </c>
      <c r="AL57" s="56" t="s">
        <v>142</v>
      </c>
      <c r="AM57" s="30" t="s">
        <v>142</v>
      </c>
      <c r="AN57" s="71">
        <v>355</v>
      </c>
      <c r="AO57" s="25"/>
      <c r="AP57" s="60" t="s">
        <v>142</v>
      </c>
      <c r="AQ57" s="28">
        <v>382.13200513267816</v>
      </c>
      <c r="AR57" s="25"/>
      <c r="AS57" s="25"/>
      <c r="AT57" s="25">
        <f t="shared" si="7"/>
        <v>288</v>
      </c>
      <c r="AU57" s="25">
        <f>179*1.6</f>
        <v>286.40000000000003</v>
      </c>
      <c r="AZ57" s="1053"/>
    </row>
    <row r="58" spans="1:52" s="14" customFormat="1" ht="15.75">
      <c r="A58" s="1"/>
      <c r="C58" s="14" t="s">
        <v>31</v>
      </c>
      <c r="G58" s="62"/>
      <c r="I58" s="44" t="s">
        <v>26</v>
      </c>
      <c r="K58" s="36">
        <f>SUM(K51:K57)</f>
        <v>10385</v>
      </c>
      <c r="L58" s="25"/>
      <c r="M58" s="87">
        <f>SUM(M51:M57)</f>
        <v>12679.535333005144</v>
      </c>
      <c r="N58" s="78">
        <f>SUM(N51:N57)</f>
        <v>13623.592676835264</v>
      </c>
      <c r="O58" s="77">
        <f aca="true" t="shared" si="8" ref="O58:AM58">SUM(O51:O57)</f>
        <v>8856.016679078892</v>
      </c>
      <c r="P58" s="78">
        <f>SUM(P51:P57)</f>
        <v>8393.255553287832</v>
      </c>
      <c r="Q58" s="77">
        <f t="shared" si="8"/>
        <v>9268.033615043563</v>
      </c>
      <c r="R58" s="78">
        <f>SUM(R51:R57)</f>
        <v>13870.775297082091</v>
      </c>
      <c r="S58" s="77">
        <f t="shared" si="8"/>
        <v>13440.636501974051</v>
      </c>
      <c r="T58" s="78">
        <f t="shared" si="8"/>
        <v>10573.332075642582</v>
      </c>
      <c r="U58" s="77">
        <f t="shared" si="8"/>
        <v>13286.115398590782</v>
      </c>
      <c r="V58" s="78">
        <f t="shared" si="8"/>
        <v>9241.06297709381</v>
      </c>
      <c r="W58" s="77">
        <f t="shared" si="8"/>
        <v>15040.33895126186</v>
      </c>
      <c r="X58" s="78">
        <f t="shared" si="8"/>
        <v>15756.247565203068</v>
      </c>
      <c r="Y58" s="77">
        <f t="shared" si="8"/>
        <v>7301.4466910988385</v>
      </c>
      <c r="Z58" s="77">
        <f t="shared" si="8"/>
        <v>8005.746489130164</v>
      </c>
      <c r="AA58" s="78">
        <f t="shared" si="8"/>
        <v>13255.642595358198</v>
      </c>
      <c r="AB58" s="77">
        <f t="shared" si="8"/>
        <v>14796.830434842328</v>
      </c>
      <c r="AC58" s="78">
        <f t="shared" si="8"/>
        <v>12264.860417812817</v>
      </c>
      <c r="AD58" s="77">
        <f t="shared" si="8"/>
        <v>15995.51751312165</v>
      </c>
      <c r="AE58" s="78">
        <f t="shared" si="8"/>
        <v>7365.341370918928</v>
      </c>
      <c r="AF58" s="77">
        <f t="shared" si="8"/>
        <v>6549.466462964906</v>
      </c>
      <c r="AG58" s="78">
        <f t="shared" si="8"/>
        <v>11782.798723136526</v>
      </c>
      <c r="AH58" s="77">
        <f t="shared" si="8"/>
        <v>7049.9845056238455</v>
      </c>
      <c r="AI58" s="78">
        <f t="shared" si="8"/>
        <v>9971.085156022433</v>
      </c>
      <c r="AJ58" s="77">
        <f t="shared" si="8"/>
        <v>5265.7216165441105</v>
      </c>
      <c r="AK58" s="78">
        <f t="shared" si="8"/>
        <v>14430.508679168735</v>
      </c>
      <c r="AL58" s="77">
        <f t="shared" si="8"/>
        <v>14168.135551103134</v>
      </c>
      <c r="AM58" s="78">
        <f t="shared" si="8"/>
        <v>6500.455992382694</v>
      </c>
      <c r="AN58" s="71">
        <f>SUM(AN51:AN57)</f>
        <v>12307.499334731252</v>
      </c>
      <c r="AO58" s="78"/>
      <c r="AP58" s="77">
        <f>SUM(AP51:AP57)</f>
        <v>11317.467956788194</v>
      </c>
      <c r="AQ58" s="78">
        <f>SUM(AQ51:AQ57)</f>
        <v>13305.54155121841</v>
      </c>
      <c r="AR58" s="25"/>
      <c r="AS58" s="25"/>
      <c r="AT58" s="25">
        <f>SUM(AT51:AT57)</f>
        <v>10385</v>
      </c>
      <c r="AU58" s="25">
        <f>SUM(AU51:AU57)</f>
        <v>10556.815999999999</v>
      </c>
      <c r="AZ58" s="1053"/>
    </row>
    <row r="59" spans="9:47" s="14" customFormat="1" ht="10.5" customHeight="1">
      <c r="I59" s="42"/>
      <c r="K59" s="37"/>
      <c r="M59" s="76"/>
      <c r="O59" s="42"/>
      <c r="Q59" s="42"/>
      <c r="S59" s="42"/>
      <c r="U59" s="42"/>
      <c r="W59" s="42"/>
      <c r="Y59" s="42"/>
      <c r="Z59" s="42"/>
      <c r="AB59" s="42"/>
      <c r="AD59" s="42"/>
      <c r="AF59" s="42"/>
      <c r="AH59" s="42"/>
      <c r="AJ59" s="42"/>
      <c r="AL59" s="42"/>
      <c r="AN59" s="71"/>
      <c r="AP59" s="42"/>
      <c r="AT59" s="38"/>
      <c r="AU59" s="38"/>
    </row>
    <row r="60" spans="2:47" s="14" customFormat="1" ht="18.75">
      <c r="B60" s="1" t="s">
        <v>299</v>
      </c>
      <c r="I60" s="42"/>
      <c r="K60" s="37"/>
      <c r="M60" s="76"/>
      <c r="O60" s="42"/>
      <c r="Q60" s="42"/>
      <c r="S60" s="42"/>
      <c r="U60" s="42"/>
      <c r="W60" s="42"/>
      <c r="Y60" s="42"/>
      <c r="Z60" s="42"/>
      <c r="AB60" s="42"/>
      <c r="AD60" s="42"/>
      <c r="AF60" s="42"/>
      <c r="AH60" s="42"/>
      <c r="AJ60" s="42"/>
      <c r="AL60" s="42"/>
      <c r="AN60" s="71"/>
      <c r="AP60" s="42"/>
      <c r="AT60" s="38"/>
      <c r="AU60" s="38"/>
    </row>
    <row r="61" spans="3:47" s="14" customFormat="1" ht="12.75" customHeight="1">
      <c r="C61" s="14" t="s">
        <v>23</v>
      </c>
      <c r="E61" s="14">
        <v>2013</v>
      </c>
      <c r="G61" s="1056" t="s">
        <v>106</v>
      </c>
      <c r="I61" s="42" t="s">
        <v>239</v>
      </c>
      <c r="K61" s="79">
        <f>AT61</f>
        <v>85.68996595233327</v>
      </c>
      <c r="L61" s="79"/>
      <c r="M61" s="89">
        <v>74.24452866128296</v>
      </c>
      <c r="N61" s="79">
        <v>76.75484825978442</v>
      </c>
      <c r="O61" s="80">
        <v>79.61933165353678</v>
      </c>
      <c r="P61" s="79">
        <v>81.47388573912905</v>
      </c>
      <c r="Q61" s="80">
        <v>66.33232030764243</v>
      </c>
      <c r="R61" s="79">
        <v>84.40168934772407</v>
      </c>
      <c r="S61" s="80">
        <v>79.63464444411196</v>
      </c>
      <c r="T61" s="79">
        <v>80.28537617744186</v>
      </c>
      <c r="U61" s="80">
        <v>80.13697329474861</v>
      </c>
      <c r="V61" s="79">
        <v>79.55732803085779</v>
      </c>
      <c r="W61" s="80">
        <v>84.30981575233383</v>
      </c>
      <c r="X61" s="79">
        <v>83.87359007610495</v>
      </c>
      <c r="Y61" s="80">
        <v>84.01406847630196</v>
      </c>
      <c r="Z61" s="80">
        <v>65.32931764768148</v>
      </c>
      <c r="AA61" s="79">
        <v>82.98455299555604</v>
      </c>
      <c r="AB61" s="80">
        <v>79.67931403412103</v>
      </c>
      <c r="AC61" s="79">
        <v>91.42661179698217</v>
      </c>
      <c r="AD61" s="80">
        <v>82.91706165337351</v>
      </c>
      <c r="AE61" s="79">
        <v>78.71509782330288</v>
      </c>
      <c r="AF61" s="80">
        <v>83.0245160357975</v>
      </c>
      <c r="AG61" s="79">
        <v>82.50543029490625</v>
      </c>
      <c r="AH61" s="80">
        <v>78.44388508510343</v>
      </c>
      <c r="AI61" s="79">
        <v>88.244959546776</v>
      </c>
      <c r="AJ61" s="80">
        <v>76.23156357988623</v>
      </c>
      <c r="AK61" s="79">
        <v>82.39490883840273</v>
      </c>
      <c r="AL61" s="80">
        <v>86.28266197728134</v>
      </c>
      <c r="AM61" s="79">
        <v>77.20432206711364</v>
      </c>
      <c r="AN61" s="388">
        <v>84.62853819751774</v>
      </c>
      <c r="AO61" s="22"/>
      <c r="AP61" s="80">
        <v>81.70643626165895</v>
      </c>
      <c r="AQ61" s="79">
        <v>82.5295002394627</v>
      </c>
      <c r="AT61" s="79">
        <f>100*AT51/(AT$51+AT$53+AT$54+AT$55)</f>
        <v>85.68996595233327</v>
      </c>
      <c r="AU61" s="79">
        <f>100*AU51/(AU$51+AU$53+AU$54+AU$55)</f>
        <v>85.5964547060308</v>
      </c>
    </row>
    <row r="62" spans="3:47" s="14" customFormat="1" ht="15">
      <c r="C62" s="14" t="s">
        <v>30</v>
      </c>
      <c r="E62" s="14">
        <v>2013</v>
      </c>
      <c r="G62" s="1056"/>
      <c r="I62" s="42" t="s">
        <v>139</v>
      </c>
      <c r="K62" s="79">
        <f>AT62</f>
        <v>6.519126777488484</v>
      </c>
      <c r="L62" s="79"/>
      <c r="M62" s="89">
        <v>9.441655588404531</v>
      </c>
      <c r="N62" s="79">
        <v>15.03439331694689</v>
      </c>
      <c r="O62" s="80">
        <v>15.992345248742105</v>
      </c>
      <c r="P62" s="79">
        <v>18.52611426087096</v>
      </c>
      <c r="Q62" s="80">
        <v>16.129988775319656</v>
      </c>
      <c r="R62" s="79">
        <v>5.678085405912717</v>
      </c>
      <c r="S62" s="80">
        <v>9.789194931103097</v>
      </c>
      <c r="T62" s="79">
        <v>17.237769816744148</v>
      </c>
      <c r="U62" s="80">
        <v>17.588000395199973</v>
      </c>
      <c r="V62" s="79">
        <v>13.027698138780632</v>
      </c>
      <c r="W62" s="80">
        <v>9.76266621780845</v>
      </c>
      <c r="X62" s="79">
        <v>5.446941490342801</v>
      </c>
      <c r="Y62" s="80">
        <v>11.2693569763393</v>
      </c>
      <c r="Z62" s="80">
        <v>21.619076961486037</v>
      </c>
      <c r="AA62" s="79">
        <v>14.046741648241982</v>
      </c>
      <c r="AB62" s="80">
        <v>13.172425219726655</v>
      </c>
      <c r="AC62" s="79">
        <v>7.810699588477366</v>
      </c>
      <c r="AD62" s="80">
        <v>12.42326934184816</v>
      </c>
      <c r="AE62" s="79">
        <v>15.557324548062743</v>
      </c>
      <c r="AF62" s="80">
        <v>16.975483964202496</v>
      </c>
      <c r="AG62" s="79">
        <v>6.641508943416431</v>
      </c>
      <c r="AH62" s="80">
        <v>13.914494867277849</v>
      </c>
      <c r="AI62" s="79">
        <v>6.8070669940650514</v>
      </c>
      <c r="AJ62" s="80">
        <v>12.258568844668714</v>
      </c>
      <c r="AK62" s="79">
        <v>6.635694608529231</v>
      </c>
      <c r="AL62" s="80">
        <v>11.389576518787567</v>
      </c>
      <c r="AM62" s="79">
        <v>14.947570446797348</v>
      </c>
      <c r="AN62" s="388">
        <v>5.560758169346243</v>
      </c>
      <c r="AO62" s="22"/>
      <c r="AP62" s="80">
        <v>9.206919316402484</v>
      </c>
      <c r="AQ62" s="79">
        <v>8.340056595519204</v>
      </c>
      <c r="AT62" s="79">
        <f>100*AT53/(AT$51+AT$53+AT$54+AT$55)</f>
        <v>6.519126777488484</v>
      </c>
      <c r="AU62" s="79">
        <f>100*AU53/(AU$51+AU$53+AU$54+AU$55)</f>
        <v>5.56790941206157</v>
      </c>
    </row>
    <row r="63" spans="3:47" s="14" customFormat="1" ht="15">
      <c r="C63" s="14" t="s">
        <v>52</v>
      </c>
      <c r="E63" s="14">
        <v>2013</v>
      </c>
      <c r="G63" s="1056"/>
      <c r="I63" s="42" t="s">
        <v>139</v>
      </c>
      <c r="K63" s="79">
        <f>AT63</f>
        <v>7.790907270178249</v>
      </c>
      <c r="L63" s="79"/>
      <c r="M63" s="89">
        <v>12.184765570745451</v>
      </c>
      <c r="N63" s="79">
        <v>7.344638530316128</v>
      </c>
      <c r="O63" s="80">
        <v>2.8227256661780915</v>
      </c>
      <c r="P63" s="79" t="s">
        <v>146</v>
      </c>
      <c r="Q63" s="80">
        <v>7.707477032498219</v>
      </c>
      <c r="R63" s="79">
        <v>8.352885969028625</v>
      </c>
      <c r="S63" s="80">
        <v>10.15125899549664</v>
      </c>
      <c r="T63" s="79">
        <v>1.5919817393374485</v>
      </c>
      <c r="U63" s="80">
        <v>0.8832421001825096</v>
      </c>
      <c r="V63" s="79">
        <v>5.970462809868694</v>
      </c>
      <c r="W63" s="80">
        <v>5.247756787901545</v>
      </c>
      <c r="X63" s="79">
        <v>9.10021684127905</v>
      </c>
      <c r="Y63" s="80">
        <v>3.0045191824571558</v>
      </c>
      <c r="Z63" s="80">
        <v>9.886883264718389</v>
      </c>
      <c r="AA63" s="79">
        <v>2.7099323290984243</v>
      </c>
      <c r="AB63" s="80">
        <v>6.259978088342766</v>
      </c>
      <c r="AC63" s="79">
        <v>0.7626886145404664</v>
      </c>
      <c r="AD63" s="80">
        <v>4.659669004778335</v>
      </c>
      <c r="AE63" s="79">
        <v>4.83692582973404</v>
      </c>
      <c r="AF63" s="80" t="s">
        <v>146</v>
      </c>
      <c r="AG63" s="79">
        <v>10.026055349936028</v>
      </c>
      <c r="AH63" s="80">
        <v>6.132316666507452</v>
      </c>
      <c r="AI63" s="79">
        <v>3.9333313477978415</v>
      </c>
      <c r="AJ63" s="80">
        <v>4.156701128015035</v>
      </c>
      <c r="AK63" s="79">
        <v>9.080286514923602</v>
      </c>
      <c r="AL63" s="80">
        <v>2.327761503931099</v>
      </c>
      <c r="AM63" s="79">
        <v>7.065098152707693</v>
      </c>
      <c r="AN63" s="388">
        <v>8.225144350916533</v>
      </c>
      <c r="AO63" s="22"/>
      <c r="AP63" s="80">
        <v>7.418587053484932</v>
      </c>
      <c r="AQ63" s="79">
        <v>7.72314777505365</v>
      </c>
      <c r="AT63" s="79">
        <f>100*AT55/(AT$51+AT$53+AT$54+AT$55)</f>
        <v>7.790907270178249</v>
      </c>
      <c r="AU63" s="79">
        <f>100*AU55/(AU$51+AU$53+AU$54+AU$55)</f>
        <v>7.677658970476912</v>
      </c>
    </row>
    <row r="64" spans="3:47" s="14" customFormat="1" ht="15">
      <c r="C64" s="14" t="s">
        <v>46</v>
      </c>
      <c r="E64" s="14">
        <v>2013</v>
      </c>
      <c r="G64" s="1056"/>
      <c r="I64" s="42" t="s">
        <v>139</v>
      </c>
      <c r="K64" s="79">
        <f>AT64</f>
        <v>0</v>
      </c>
      <c r="L64" s="79"/>
      <c r="M64" s="89">
        <v>4.129050179567055</v>
      </c>
      <c r="N64" s="79">
        <v>0.8661198929525835</v>
      </c>
      <c r="O64" s="80">
        <v>1.5655974315430383</v>
      </c>
      <c r="P64" s="243" t="s">
        <v>146</v>
      </c>
      <c r="Q64" s="80">
        <v>9.830213884539697</v>
      </c>
      <c r="R64" s="79">
        <v>1.5673392773345847</v>
      </c>
      <c r="S64" s="80">
        <v>0.4249016292882896</v>
      </c>
      <c r="T64" s="79">
        <v>0.8848722664765354</v>
      </c>
      <c r="U64" s="80">
        <v>1.3917842098688884</v>
      </c>
      <c r="V64" s="79">
        <v>1.4445110204928895</v>
      </c>
      <c r="W64" s="80">
        <v>0.6797612419561586</v>
      </c>
      <c r="X64" s="79">
        <v>1.579251592273193</v>
      </c>
      <c r="Y64" s="80">
        <v>1.7120553649015862</v>
      </c>
      <c r="Z64" s="80">
        <v>3.164722126114103</v>
      </c>
      <c r="AA64" s="79">
        <v>0.25877302710353256</v>
      </c>
      <c r="AB64" s="80">
        <v>0.8882826578095279</v>
      </c>
      <c r="AC64" s="79" t="s">
        <v>146</v>
      </c>
      <c r="AD64" s="80" t="s">
        <v>146</v>
      </c>
      <c r="AE64" s="79">
        <v>0.8906517989003474</v>
      </c>
      <c r="AF64" s="80" t="s">
        <v>146</v>
      </c>
      <c r="AG64" s="79">
        <v>0.8270054117412858</v>
      </c>
      <c r="AH64" s="80">
        <v>1.5093033811112717</v>
      </c>
      <c r="AI64" s="79">
        <v>1.0146421113611173</v>
      </c>
      <c r="AJ64" s="80">
        <v>7.353166447430014</v>
      </c>
      <c r="AK64" s="79">
        <v>1.8891100381444197</v>
      </c>
      <c r="AL64" s="80" t="s">
        <v>146</v>
      </c>
      <c r="AM64" s="79">
        <v>0.7830093333813212</v>
      </c>
      <c r="AN64" s="388">
        <v>1.5855592822194866</v>
      </c>
      <c r="AO64" s="22"/>
      <c r="AP64" s="80">
        <v>1.6680573684536293</v>
      </c>
      <c r="AQ64" s="79">
        <v>1.4072953899644274</v>
      </c>
      <c r="AT64" s="79">
        <f>100*AT54/(AT$51+AT$53+AT$54+AT$55)</f>
        <v>0</v>
      </c>
      <c r="AU64" s="79">
        <f>100*AU54/(AU$51+AU$53+AU$54+AU$55)</f>
        <v>1.1579769114307343</v>
      </c>
    </row>
    <row r="65" spans="3:47" s="14" customFormat="1" ht="15">
      <c r="C65" s="14" t="s">
        <v>243</v>
      </c>
      <c r="E65" s="14">
        <v>2013</v>
      </c>
      <c r="F65" s="15"/>
      <c r="G65" s="1056"/>
      <c r="I65" s="44" t="s">
        <v>26</v>
      </c>
      <c r="K65" s="379">
        <f>AT65</f>
        <v>9986</v>
      </c>
      <c r="L65" s="36"/>
      <c r="M65" s="72">
        <v>11718</v>
      </c>
      <c r="N65" s="36">
        <v>13019</v>
      </c>
      <c r="O65" s="81">
        <v>8660</v>
      </c>
      <c r="P65" s="36">
        <v>8450</v>
      </c>
      <c r="Q65" s="81">
        <v>9197</v>
      </c>
      <c r="R65" s="36">
        <v>12905</v>
      </c>
      <c r="S65" s="81">
        <v>11941</v>
      </c>
      <c r="T65" s="36">
        <v>10093</v>
      </c>
      <c r="U65" s="81">
        <v>10895</v>
      </c>
      <c r="V65" s="36">
        <v>8652</v>
      </c>
      <c r="W65" s="81">
        <v>14258</v>
      </c>
      <c r="X65" s="36">
        <v>15022</v>
      </c>
      <c r="Y65" s="81">
        <v>7279</v>
      </c>
      <c r="Z65" s="81">
        <v>8030</v>
      </c>
      <c r="AA65" s="36">
        <v>12294</v>
      </c>
      <c r="AB65" s="81">
        <v>12285</v>
      </c>
      <c r="AC65" s="36">
        <v>11280</v>
      </c>
      <c r="AD65" s="81">
        <v>15105</v>
      </c>
      <c r="AE65" s="36">
        <v>7281</v>
      </c>
      <c r="AF65" s="81">
        <v>6448</v>
      </c>
      <c r="AG65" s="36">
        <v>9916</v>
      </c>
      <c r="AH65" s="81">
        <v>6925</v>
      </c>
      <c r="AI65" s="36">
        <v>8872</v>
      </c>
      <c r="AJ65" s="81">
        <v>5044</v>
      </c>
      <c r="AK65" s="36">
        <v>13856</v>
      </c>
      <c r="AL65" s="81">
        <v>14222</v>
      </c>
      <c r="AM65" s="36">
        <v>6489</v>
      </c>
      <c r="AN65" s="71">
        <v>11872</v>
      </c>
      <c r="AO65" s="22"/>
      <c r="AP65" s="81">
        <v>11184</v>
      </c>
      <c r="AQ65" s="36">
        <v>12202</v>
      </c>
      <c r="AR65" s="25"/>
      <c r="AS65" s="25"/>
      <c r="AT65" s="36">
        <f>AT51+AT53+AT55+AT54</f>
        <v>9986</v>
      </c>
      <c r="AU65" s="36">
        <f>AU51+AU53+AU55+AU54</f>
        <v>10145.279999999999</v>
      </c>
    </row>
    <row r="66" spans="9:42" s="14" customFormat="1" ht="9.75" customHeight="1">
      <c r="I66" s="42"/>
      <c r="K66" s="551"/>
      <c r="M66" s="76"/>
      <c r="O66" s="42"/>
      <c r="Q66" s="42"/>
      <c r="S66" s="42"/>
      <c r="U66" s="42"/>
      <c r="W66" s="42"/>
      <c r="Y66" s="42"/>
      <c r="Z66" s="42"/>
      <c r="AB66" s="42"/>
      <c r="AD66" s="42"/>
      <c r="AF66" s="42"/>
      <c r="AH66" s="42"/>
      <c r="AJ66" s="42"/>
      <c r="AL66" s="42"/>
      <c r="AN66" s="42"/>
      <c r="AP66" s="42"/>
    </row>
    <row r="67" spans="2:42" s="14" customFormat="1" ht="15.75">
      <c r="B67" s="1" t="s">
        <v>112</v>
      </c>
      <c r="I67" s="42"/>
      <c r="K67" s="15"/>
      <c r="M67" s="76"/>
      <c r="O67" s="42"/>
      <c r="Q67" s="42"/>
      <c r="S67" s="42"/>
      <c r="U67" s="42"/>
      <c r="W67" s="42"/>
      <c r="Y67" s="42"/>
      <c r="Z67" s="42"/>
      <c r="AB67" s="42"/>
      <c r="AD67" s="42"/>
      <c r="AF67" s="42"/>
      <c r="AH67" s="42"/>
      <c r="AJ67" s="42"/>
      <c r="AL67" s="42"/>
      <c r="AN67" s="42"/>
      <c r="AP67" s="42"/>
    </row>
    <row r="68" spans="3:52" s="14" customFormat="1" ht="15">
      <c r="C68" s="14" t="s">
        <v>0</v>
      </c>
      <c r="E68" s="14">
        <v>2013</v>
      </c>
      <c r="I68" s="43" t="s">
        <v>140</v>
      </c>
      <c r="J68" s="246"/>
      <c r="K68" s="120">
        <v>8.7704</v>
      </c>
      <c r="L68" s="246"/>
      <c r="M68" s="73">
        <v>17.767418000000006</v>
      </c>
      <c r="N68" s="17">
        <v>18.024303000000003</v>
      </c>
      <c r="O68" s="52">
        <v>5.161687999999999</v>
      </c>
      <c r="P68" s="17">
        <v>4.813008</v>
      </c>
      <c r="Q68" s="52">
        <v>8.023385000000003</v>
      </c>
      <c r="R68" s="17">
        <v>117.64928999999995</v>
      </c>
      <c r="S68" s="52">
        <v>19.804882999999997</v>
      </c>
      <c r="T68" s="17">
        <v>1.5025010000000003</v>
      </c>
      <c r="U68" s="52">
        <v>26.463151999999997</v>
      </c>
      <c r="V68" s="17">
        <v>132.47664699999999</v>
      </c>
      <c r="W68" s="52">
        <v>12.787563</v>
      </c>
      <c r="X68" s="17">
        <v>87.217608</v>
      </c>
      <c r="Y68" s="52">
        <v>4.817689</v>
      </c>
      <c r="Z68" s="52">
        <v>6.9743889999999995</v>
      </c>
      <c r="AA68" s="17">
        <v>21.062495</v>
      </c>
      <c r="AB68" s="52">
        <v>92.16956400000001</v>
      </c>
      <c r="AC68" s="17">
        <v>2.82108</v>
      </c>
      <c r="AD68" s="52">
        <v>1.8150079999999997</v>
      </c>
      <c r="AE68" s="17">
        <v>3.315585000000001</v>
      </c>
      <c r="AF68" s="52">
        <v>3.559433</v>
      </c>
      <c r="AG68" s="17">
        <v>34.022085999999994</v>
      </c>
      <c r="AH68" s="52">
        <v>18.779872000000005</v>
      </c>
      <c r="AI68" s="17">
        <v>23.609685</v>
      </c>
      <c r="AJ68" s="52">
        <v>8.873747999999999</v>
      </c>
      <c r="AK68" s="17">
        <v>25.723273000000002</v>
      </c>
      <c r="AL68" s="52">
        <v>1.2767899999999999</v>
      </c>
      <c r="AM68" s="17">
        <v>0.714147</v>
      </c>
      <c r="AN68" s="52">
        <v>142.070441</v>
      </c>
      <c r="AO68" s="17"/>
      <c r="AP68" s="52">
        <v>828.600561</v>
      </c>
      <c r="AQ68" s="19">
        <v>760.606923</v>
      </c>
      <c r="AR68" s="246"/>
      <c r="AS68" s="246"/>
      <c r="AT68" s="120">
        <f>K68</f>
        <v>8.7704</v>
      </c>
      <c r="AV68" s="22">
        <v>120.468391</v>
      </c>
      <c r="AX68" s="20">
        <v>-61.48250000000007</v>
      </c>
      <c r="AZ68" s="1050" t="s">
        <v>338</v>
      </c>
    </row>
    <row r="69" spans="3:52" s="14" customFormat="1" ht="15">
      <c r="C69" s="14" t="s">
        <v>38</v>
      </c>
      <c r="E69" s="14">
        <v>2013</v>
      </c>
      <c r="I69" s="44" t="s">
        <v>26</v>
      </c>
      <c r="K69" s="120">
        <f>K68/5.314</f>
        <v>1.6504328189687618</v>
      </c>
      <c r="M69" s="90">
        <f>M68/M11</f>
        <v>2.0883715222738335</v>
      </c>
      <c r="N69" s="17">
        <f aca="true" t="shared" si="9" ref="N69:AQ69">N68/N11</f>
        <v>1.6087393671826975</v>
      </c>
      <c r="O69" s="52">
        <f t="shared" si="9"/>
        <v>0.7123817415543088</v>
      </c>
      <c r="P69" s="17">
        <f t="shared" si="9"/>
        <v>5.6095664335664335</v>
      </c>
      <c r="Q69" s="52">
        <f t="shared" si="9"/>
        <v>0.7632291863556812</v>
      </c>
      <c r="R69" s="17">
        <f t="shared" si="9"/>
        <v>1.4564160683337453</v>
      </c>
      <c r="S69" s="52">
        <f t="shared" si="9"/>
        <v>3.5194696862668784</v>
      </c>
      <c r="T69" s="17">
        <f t="shared" si="9"/>
        <v>1.141875136321941</v>
      </c>
      <c r="U69" s="52">
        <f t="shared" si="9"/>
        <v>2.4073629970155346</v>
      </c>
      <c r="V69" s="17">
        <f t="shared" si="9"/>
        <v>2.8484847904951773</v>
      </c>
      <c r="W69" s="52">
        <f t="shared" si="9"/>
        <v>2.3457952000176108</v>
      </c>
      <c r="X69" s="17">
        <f t="shared" si="9"/>
        <v>1.3642969983016056</v>
      </c>
      <c r="Y69" s="52">
        <f t="shared" si="9"/>
        <v>1.134454753102409</v>
      </c>
      <c r="Z69" s="52">
        <f t="shared" si="9"/>
        <v>0.7059812734082397</v>
      </c>
      <c r="AA69" s="17">
        <f t="shared" si="9"/>
        <v>4.574796335991802</v>
      </c>
      <c r="AB69" s="52">
        <f t="shared" si="9"/>
        <v>1.5163790441051388</v>
      </c>
      <c r="AC69" s="17">
        <f t="shared" si="9"/>
        <v>0.9584191730038539</v>
      </c>
      <c r="AD69" s="52">
        <f t="shared" si="9"/>
        <v>3.301935671663513</v>
      </c>
      <c r="AE69" s="17">
        <f t="shared" si="9"/>
        <v>1.6565765727955686</v>
      </c>
      <c r="AF69" s="52">
        <f t="shared" si="9"/>
        <v>8.367576119459123</v>
      </c>
      <c r="AG69" s="17">
        <f t="shared" si="9"/>
        <v>2.0215997241475856</v>
      </c>
      <c r="AH69" s="52">
        <f t="shared" si="9"/>
        <v>0.4878438890992879</v>
      </c>
      <c r="AI69" s="17">
        <f t="shared" si="9"/>
        <v>2.2642182286672266</v>
      </c>
      <c r="AJ69" s="52">
        <f t="shared" si="9"/>
        <v>0.44496351085277464</v>
      </c>
      <c r="AK69" s="17">
        <f t="shared" si="9"/>
        <v>2.6670436203143977</v>
      </c>
      <c r="AL69" s="52">
        <f t="shared" si="9"/>
        <v>0.6194746941538073</v>
      </c>
      <c r="AM69" s="17">
        <f t="shared" si="9"/>
        <v>0.13185999351175573</v>
      </c>
      <c r="AN69" s="52">
        <f t="shared" si="9"/>
        <v>2.209209808985505</v>
      </c>
      <c r="AO69" s="17"/>
      <c r="AP69" s="52">
        <f t="shared" si="9"/>
        <v>1.6392071970856645</v>
      </c>
      <c r="AQ69" s="17">
        <f t="shared" si="9"/>
        <v>1.9008266801423037</v>
      </c>
      <c r="AR69" s="17"/>
      <c r="AS69" s="17"/>
      <c r="AT69" s="120">
        <f>AT68/5.314</f>
        <v>1.6504328189687618</v>
      </c>
      <c r="AU69" s="17"/>
      <c r="AV69" s="17">
        <f>AV68/AV11</f>
        <v>1.8649295401106236</v>
      </c>
      <c r="AZ69" s="1058"/>
    </row>
    <row r="70" spans="9:52" s="14" customFormat="1" ht="6" customHeight="1">
      <c r="I70" s="42"/>
      <c r="K70" s="15"/>
      <c r="M70" s="76"/>
      <c r="O70" s="42"/>
      <c r="Q70" s="42"/>
      <c r="S70" s="42"/>
      <c r="U70" s="42"/>
      <c r="W70" s="42"/>
      <c r="Y70" s="42"/>
      <c r="Z70" s="42"/>
      <c r="AB70" s="42"/>
      <c r="AD70" s="42"/>
      <c r="AF70" s="42"/>
      <c r="AH70" s="42"/>
      <c r="AJ70" s="42"/>
      <c r="AL70" s="42"/>
      <c r="AN70" s="42"/>
      <c r="AP70" s="42"/>
      <c r="AT70" s="15"/>
      <c r="AZ70" s="1058"/>
    </row>
    <row r="71" spans="2:52" s="14" customFormat="1" ht="15.75">
      <c r="B71" s="1" t="s">
        <v>35</v>
      </c>
      <c r="I71" s="42"/>
      <c r="K71" s="15"/>
      <c r="M71" s="76"/>
      <c r="O71" s="42"/>
      <c r="Q71" s="42"/>
      <c r="S71" s="42"/>
      <c r="U71" s="42"/>
      <c r="W71" s="42"/>
      <c r="Y71" s="42"/>
      <c r="Z71" s="42"/>
      <c r="AB71" s="42"/>
      <c r="AD71" s="42"/>
      <c r="AF71" s="42"/>
      <c r="AH71" s="42"/>
      <c r="AJ71" s="42"/>
      <c r="AL71" s="42"/>
      <c r="AN71" s="42"/>
      <c r="AP71" s="42"/>
      <c r="AT71" s="251"/>
      <c r="AU71" s="246"/>
      <c r="AV71" s="246"/>
      <c r="AZ71" s="1058"/>
    </row>
    <row r="72" spans="3:50" s="14" customFormat="1" ht="15">
      <c r="C72" s="14" t="s">
        <v>36</v>
      </c>
      <c r="E72" s="14">
        <v>2013</v>
      </c>
      <c r="G72" s="21"/>
      <c r="I72" s="43" t="s">
        <v>141</v>
      </c>
      <c r="K72" s="36">
        <v>172</v>
      </c>
      <c r="M72" s="84">
        <v>455</v>
      </c>
      <c r="N72" s="25">
        <v>723</v>
      </c>
      <c r="O72" s="51">
        <v>601</v>
      </c>
      <c r="P72" s="25">
        <v>44</v>
      </c>
      <c r="Q72" s="51">
        <v>655</v>
      </c>
      <c r="R72" s="25">
        <v>3339</v>
      </c>
      <c r="S72" s="51">
        <v>191</v>
      </c>
      <c r="T72" s="25">
        <v>81</v>
      </c>
      <c r="U72" s="51">
        <v>874</v>
      </c>
      <c r="V72" s="25">
        <v>1680</v>
      </c>
      <c r="W72" s="51">
        <v>258</v>
      </c>
      <c r="X72" s="25">
        <v>3268</v>
      </c>
      <c r="Y72" s="51">
        <v>368</v>
      </c>
      <c r="Z72" s="51">
        <v>591</v>
      </c>
      <c r="AA72" s="25">
        <v>190</v>
      </c>
      <c r="AB72" s="51">
        <v>3385</v>
      </c>
      <c r="AC72" s="25">
        <v>256</v>
      </c>
      <c r="AD72" s="51">
        <v>45</v>
      </c>
      <c r="AE72" s="25">
        <v>179</v>
      </c>
      <c r="AF72" s="51">
        <v>18</v>
      </c>
      <c r="AG72" s="25">
        <v>476</v>
      </c>
      <c r="AH72" s="51">
        <v>3357</v>
      </c>
      <c r="AI72" s="25">
        <v>637</v>
      </c>
      <c r="AJ72" s="51">
        <v>1861</v>
      </c>
      <c r="AK72" s="25">
        <v>260</v>
      </c>
      <c r="AL72" s="51">
        <v>125</v>
      </c>
      <c r="AM72" s="25">
        <v>251</v>
      </c>
      <c r="AN72" s="51">
        <v>1770</v>
      </c>
      <c r="AO72" s="25"/>
      <c r="AP72" s="59">
        <v>28126</v>
      </c>
      <c r="AQ72" s="91">
        <v>19119</v>
      </c>
      <c r="AT72" s="36">
        <f>K72</f>
        <v>172</v>
      </c>
      <c r="AU72" s="25">
        <v>1713</v>
      </c>
      <c r="AV72" s="25">
        <f>AN72</f>
        <v>1770</v>
      </c>
      <c r="AX72" s="25">
        <v>-13446</v>
      </c>
    </row>
    <row r="73" spans="3:53" s="14" customFormat="1" ht="12" customHeight="1">
      <c r="C73" s="14" t="s">
        <v>37</v>
      </c>
      <c r="E73" s="14">
        <v>2013</v>
      </c>
      <c r="I73" s="44" t="s">
        <v>26</v>
      </c>
      <c r="K73" s="36">
        <f>K72/5.314</f>
        <v>32.36733157696651</v>
      </c>
      <c r="M73" s="86">
        <f>M72/M11</f>
        <v>53.4804236965998</v>
      </c>
      <c r="N73" s="24">
        <f aca="true" t="shared" si="10" ref="N73:AP73">N72/N11</f>
        <v>64.53057088937587</v>
      </c>
      <c r="O73" s="49">
        <f t="shared" si="10"/>
        <v>82.94601042801108</v>
      </c>
      <c r="P73" s="24">
        <f t="shared" si="10"/>
        <v>51.282051282051285</v>
      </c>
      <c r="Q73" s="49">
        <f t="shared" si="10"/>
        <v>62.30725773011902</v>
      </c>
      <c r="R73" s="24">
        <f t="shared" si="10"/>
        <v>41.334488734835354</v>
      </c>
      <c r="S73" s="49">
        <f t="shared" si="10"/>
        <v>33.94206924004418</v>
      </c>
      <c r="T73" s="24">
        <f t="shared" si="10"/>
        <v>61.55861862459806</v>
      </c>
      <c r="U73" s="49">
        <f t="shared" si="10"/>
        <v>79.50811223816336</v>
      </c>
      <c r="V73" s="24">
        <f t="shared" si="10"/>
        <v>36.12300398901173</v>
      </c>
      <c r="W73" s="49">
        <f t="shared" si="10"/>
        <v>47.328420716640345</v>
      </c>
      <c r="X73" s="24">
        <f t="shared" si="10"/>
        <v>51.11952382883106</v>
      </c>
      <c r="Y73" s="49">
        <f t="shared" si="10"/>
        <v>86.6555207572939</v>
      </c>
      <c r="Z73" s="49">
        <f t="shared" si="10"/>
        <v>59.82386881263286</v>
      </c>
      <c r="AA73" s="24">
        <f t="shared" si="10"/>
        <v>41.268202263712936</v>
      </c>
      <c r="AB73" s="49">
        <f t="shared" si="10"/>
        <v>55.69021748107536</v>
      </c>
      <c r="AC73" s="24">
        <f t="shared" si="10"/>
        <v>86.97211999978258</v>
      </c>
      <c r="AD73" s="49">
        <f t="shared" si="10"/>
        <v>81.86581283655946</v>
      </c>
      <c r="AE73" s="24">
        <f t="shared" si="10"/>
        <v>89.43435518329547</v>
      </c>
      <c r="AF73" s="49">
        <f t="shared" si="10"/>
        <v>42.31470859270683</v>
      </c>
      <c r="AG73" s="24">
        <f t="shared" si="10"/>
        <v>28.284023169368595</v>
      </c>
      <c r="AH73" s="49">
        <f t="shared" si="10"/>
        <v>87.20463780084917</v>
      </c>
      <c r="AI73" s="24">
        <f t="shared" si="10"/>
        <v>61.08963383717416</v>
      </c>
      <c r="AJ73" s="49">
        <f t="shared" si="10"/>
        <v>93.31762561851133</v>
      </c>
      <c r="AK73" s="24">
        <f t="shared" si="10"/>
        <v>26.95735263866862</v>
      </c>
      <c r="AL73" s="49">
        <f t="shared" si="10"/>
        <v>60.647668582324364</v>
      </c>
      <c r="AM73" s="24">
        <f t="shared" si="10"/>
        <v>46.344601841708624</v>
      </c>
      <c r="AN73" s="49">
        <f t="shared" si="10"/>
        <v>27.523680044776828</v>
      </c>
      <c r="AO73" s="24"/>
      <c r="AP73" s="49">
        <f t="shared" si="10"/>
        <v>55.641214591491696</v>
      </c>
      <c r="AQ73" s="24">
        <f>AQ72/AQ11</f>
        <v>47.78014004171864</v>
      </c>
      <c r="AR73" s="24"/>
      <c r="AS73" s="24"/>
      <c r="AT73" s="36">
        <f>AT72/AT11</f>
        <v>32.16396140324632</v>
      </c>
      <c r="AU73" s="24">
        <f>AU72/AU11</f>
        <v>27.296084307390306</v>
      </c>
      <c r="AV73" s="25">
        <f>AN73</f>
        <v>27.523680044776828</v>
      </c>
      <c r="BA73" s="14">
        <f>RANK(K73,K73:AN73,1)</f>
        <v>4</v>
      </c>
    </row>
    <row r="74" spans="9:48" s="14" customFormat="1" ht="6" customHeight="1">
      <c r="I74" s="42"/>
      <c r="K74" s="15"/>
      <c r="M74" s="76"/>
      <c r="O74" s="42"/>
      <c r="Q74" s="42"/>
      <c r="S74" s="42"/>
      <c r="U74" s="42"/>
      <c r="W74" s="42"/>
      <c r="Y74" s="42"/>
      <c r="Z74" s="42"/>
      <c r="AB74" s="42"/>
      <c r="AD74" s="42"/>
      <c r="AF74" s="42"/>
      <c r="AH74" s="42"/>
      <c r="AJ74" s="42"/>
      <c r="AL74" s="42"/>
      <c r="AN74" s="42"/>
      <c r="AP74" s="42"/>
      <c r="AV74" s="25"/>
    </row>
    <row r="75" spans="2:42" s="14" customFormat="1" ht="14.25" customHeight="1">
      <c r="B75" s="1" t="s">
        <v>241</v>
      </c>
      <c r="I75" s="42"/>
      <c r="K75" s="15"/>
      <c r="M75" s="76"/>
      <c r="O75" s="42"/>
      <c r="Q75" s="42"/>
      <c r="S75" s="42"/>
      <c r="U75" s="42"/>
      <c r="W75" s="42"/>
      <c r="Y75" s="42"/>
      <c r="Z75" s="42"/>
      <c r="AB75" s="42"/>
      <c r="AD75" s="42"/>
      <c r="AF75" s="42"/>
      <c r="AH75" s="42"/>
      <c r="AJ75" s="42"/>
      <c r="AL75" s="42"/>
      <c r="AN75" s="42"/>
      <c r="AP75" s="42"/>
    </row>
    <row r="76" spans="3:48" s="14" customFormat="1" ht="15.75" customHeight="1">
      <c r="C76" s="14" t="s">
        <v>41</v>
      </c>
      <c r="E76" s="14">
        <v>2013</v>
      </c>
      <c r="I76" s="42" t="s">
        <v>226</v>
      </c>
      <c r="K76" s="374">
        <v>12.427</v>
      </c>
      <c r="L76" s="31"/>
      <c r="M76" s="375">
        <v>24.213</v>
      </c>
      <c r="N76" s="374">
        <v>32.796</v>
      </c>
      <c r="O76" s="376">
        <v>27.097</v>
      </c>
      <c r="P76" s="374">
        <v>0.634</v>
      </c>
      <c r="Q76" s="376">
        <v>54.893</v>
      </c>
      <c r="R76" s="374">
        <v>305.744</v>
      </c>
      <c r="S76" s="376">
        <v>16.072</v>
      </c>
      <c r="T76" s="374">
        <v>5.986</v>
      </c>
      <c r="U76" s="376">
        <v>18.97</v>
      </c>
      <c r="V76" s="374">
        <v>192.597</v>
      </c>
      <c r="W76" s="376">
        <v>24.429</v>
      </c>
      <c r="X76" s="374">
        <v>171.472</v>
      </c>
      <c r="Y76" s="376">
        <v>9.133</v>
      </c>
      <c r="Z76" s="376">
        <v>35.818</v>
      </c>
      <c r="AA76" s="374">
        <v>9.215</v>
      </c>
      <c r="AB76" s="376">
        <v>127.241</v>
      </c>
      <c r="AC76" s="374">
        <v>26.338</v>
      </c>
      <c r="AD76" s="376">
        <v>8.606</v>
      </c>
      <c r="AE76" s="374">
        <v>12.816</v>
      </c>
      <c r="AF76" s="376">
        <v>0.25</v>
      </c>
      <c r="AG76" s="374">
        <v>70.184</v>
      </c>
      <c r="AH76" s="376">
        <v>247.594</v>
      </c>
      <c r="AI76" s="374">
        <v>36.555</v>
      </c>
      <c r="AJ76" s="376">
        <v>34.026</v>
      </c>
      <c r="AK76" s="374">
        <v>33.529</v>
      </c>
      <c r="AL76" s="376">
        <v>15.905</v>
      </c>
      <c r="AM76" s="374">
        <v>30.147</v>
      </c>
      <c r="AN76" s="376">
        <v>147.188</v>
      </c>
      <c r="AO76" s="377"/>
      <c r="AP76" s="378">
        <v>1719.4480000000003</v>
      </c>
      <c r="AQ76" s="379">
        <v>1218.811</v>
      </c>
      <c r="AR76" s="31"/>
      <c r="AS76" s="31"/>
      <c r="AT76" s="374">
        <f>K76</f>
        <v>12.427</v>
      </c>
      <c r="AU76" s="374"/>
      <c r="AV76" s="374">
        <f>AN76</f>
        <v>147.188</v>
      </c>
    </row>
    <row r="77" spans="3:48" s="14" customFormat="1" ht="15.75" customHeight="1">
      <c r="C77" s="14" t="s">
        <v>42</v>
      </c>
      <c r="E77" s="14">
        <v>2013</v>
      </c>
      <c r="I77" s="42" t="s">
        <v>230</v>
      </c>
      <c r="K77" s="374">
        <v>2.607</v>
      </c>
      <c r="L77" s="31"/>
      <c r="M77" s="375">
        <v>19.278</v>
      </c>
      <c r="N77" s="374">
        <v>7.28</v>
      </c>
      <c r="O77" s="376">
        <v>3.246</v>
      </c>
      <c r="P77" s="552">
        <v>0</v>
      </c>
      <c r="Q77" s="376">
        <v>13.965</v>
      </c>
      <c r="R77" s="374">
        <v>112.613</v>
      </c>
      <c r="S77" s="376">
        <v>2.448</v>
      </c>
      <c r="T77" s="374">
        <v>4.722</v>
      </c>
      <c r="U77" s="376">
        <v>0.237</v>
      </c>
      <c r="V77" s="374">
        <v>9.338</v>
      </c>
      <c r="W77" s="376">
        <v>9.47</v>
      </c>
      <c r="X77" s="374">
        <v>32.01</v>
      </c>
      <c r="Y77" s="376">
        <v>2.086</v>
      </c>
      <c r="Z77" s="376">
        <v>9.722</v>
      </c>
      <c r="AA77" s="374">
        <v>0.099</v>
      </c>
      <c r="AB77" s="376">
        <v>19.037</v>
      </c>
      <c r="AC77" s="374">
        <v>13.344</v>
      </c>
      <c r="AD77" s="376">
        <v>0.223</v>
      </c>
      <c r="AE77" s="374">
        <v>19.532</v>
      </c>
      <c r="AF77" s="553">
        <v>0</v>
      </c>
      <c r="AG77" s="374">
        <v>6.078</v>
      </c>
      <c r="AH77" s="376">
        <v>50.881</v>
      </c>
      <c r="AI77" s="374">
        <v>2.29</v>
      </c>
      <c r="AJ77" s="376">
        <v>12.941</v>
      </c>
      <c r="AK77" s="374">
        <v>20.97</v>
      </c>
      <c r="AL77" s="376">
        <v>3.799</v>
      </c>
      <c r="AM77" s="374">
        <v>8.494</v>
      </c>
      <c r="AN77" s="376">
        <v>22.401</v>
      </c>
      <c r="AO77" s="377"/>
      <c r="AP77" s="378">
        <v>406.5040000000001</v>
      </c>
      <c r="AQ77" s="379">
        <v>263.77199999999993</v>
      </c>
      <c r="AR77" s="31"/>
      <c r="AS77" s="31"/>
      <c r="AT77" s="374">
        <f>K77</f>
        <v>2.607</v>
      </c>
      <c r="AU77" s="374"/>
      <c r="AV77" s="374">
        <f>AN77</f>
        <v>22.401</v>
      </c>
    </row>
    <row r="78" spans="3:52" s="14" customFormat="1" ht="15.75" customHeight="1">
      <c r="C78" s="14" t="s">
        <v>43</v>
      </c>
      <c r="E78" s="14">
        <v>2013</v>
      </c>
      <c r="I78" s="42" t="s">
        <v>231</v>
      </c>
      <c r="K78" s="374">
        <v>0.262</v>
      </c>
      <c r="L78" s="31"/>
      <c r="M78" s="375">
        <v>2.353</v>
      </c>
      <c r="N78" s="374">
        <v>10.365</v>
      </c>
      <c r="O78" s="376">
        <v>5.374</v>
      </c>
      <c r="P78" s="552">
        <v>0</v>
      </c>
      <c r="Q78" s="376">
        <v>0.025</v>
      </c>
      <c r="R78" s="374">
        <v>60.07</v>
      </c>
      <c r="S78" s="553">
        <v>0</v>
      </c>
      <c r="T78" s="552">
        <v>0</v>
      </c>
      <c r="U78" s="553">
        <v>0</v>
      </c>
      <c r="V78" s="552">
        <v>0</v>
      </c>
      <c r="W78" s="376">
        <v>0.121</v>
      </c>
      <c r="X78" s="374">
        <v>9.213</v>
      </c>
      <c r="Y78" s="376">
        <v>0.771</v>
      </c>
      <c r="Z78" s="376">
        <v>1.924</v>
      </c>
      <c r="AA78" s="552">
        <v>0</v>
      </c>
      <c r="AB78" s="376">
        <v>0.089</v>
      </c>
      <c r="AC78" s="374">
        <v>0</v>
      </c>
      <c r="AD78" s="376">
        <v>0.313</v>
      </c>
      <c r="AE78" s="552">
        <v>0</v>
      </c>
      <c r="AF78" s="553">
        <v>0</v>
      </c>
      <c r="AG78" s="374">
        <v>48.627</v>
      </c>
      <c r="AH78" s="376">
        <v>0.091</v>
      </c>
      <c r="AI78" s="552">
        <v>0</v>
      </c>
      <c r="AJ78" s="376">
        <v>12.242</v>
      </c>
      <c r="AK78" s="552">
        <v>0</v>
      </c>
      <c r="AL78" s="553">
        <v>0</v>
      </c>
      <c r="AM78" s="374">
        <v>1.006</v>
      </c>
      <c r="AN78" s="376">
        <v>0.165</v>
      </c>
      <c r="AO78" s="377"/>
      <c r="AP78" s="378">
        <v>152.74900000000002</v>
      </c>
      <c r="AQ78" s="379">
        <v>131.316</v>
      </c>
      <c r="AR78" s="31"/>
      <c r="AS78" s="31"/>
      <c r="AT78" s="374">
        <f>K78</f>
        <v>0.262</v>
      </c>
      <c r="AU78" s="374"/>
      <c r="AV78" s="374">
        <f>AN78</f>
        <v>0.165</v>
      </c>
      <c r="AZ78" s="1050" t="s">
        <v>296</v>
      </c>
    </row>
    <row r="79" spans="3:52" s="14" customFormat="1" ht="15.75" customHeight="1">
      <c r="C79" s="14" t="s">
        <v>44</v>
      </c>
      <c r="E79" s="14">
        <v>2013</v>
      </c>
      <c r="I79" s="42" t="s">
        <v>233</v>
      </c>
      <c r="K79" s="374">
        <v>5.836</v>
      </c>
      <c r="L79" s="31"/>
      <c r="M79" s="375">
        <v>8.392</v>
      </c>
      <c r="N79" s="374">
        <v>1.6930081637049001</v>
      </c>
      <c r="O79" s="376">
        <v>0.633</v>
      </c>
      <c r="P79" s="552">
        <v>0</v>
      </c>
      <c r="Q79" s="376">
        <v>1.933</v>
      </c>
      <c r="R79" s="374">
        <v>18.18</v>
      </c>
      <c r="S79" s="376">
        <v>2.739</v>
      </c>
      <c r="T79" s="552">
        <v>0</v>
      </c>
      <c r="U79" s="376">
        <v>0.1880871216478612</v>
      </c>
      <c r="V79" s="374">
        <v>8.691</v>
      </c>
      <c r="W79" s="553">
        <v>0</v>
      </c>
      <c r="X79" s="374">
        <v>11.114</v>
      </c>
      <c r="Y79" s="376">
        <v>1.127</v>
      </c>
      <c r="Z79" s="376">
        <v>2.70246</v>
      </c>
      <c r="AA79" s="552">
        <v>0</v>
      </c>
      <c r="AB79" s="376">
        <v>10.024</v>
      </c>
      <c r="AC79" s="374">
        <v>0.563</v>
      </c>
      <c r="AD79" s="553">
        <v>0</v>
      </c>
      <c r="AE79" s="374">
        <v>2.279</v>
      </c>
      <c r="AF79" s="553">
        <v>0</v>
      </c>
      <c r="AG79" s="374">
        <v>5.405</v>
      </c>
      <c r="AH79" s="376">
        <v>20.112</v>
      </c>
      <c r="AI79" s="374">
        <v>0.350075</v>
      </c>
      <c r="AJ79" s="376">
        <v>0.829</v>
      </c>
      <c r="AK79" s="552">
        <v>0</v>
      </c>
      <c r="AL79" s="553">
        <v>0</v>
      </c>
      <c r="AM79" s="374">
        <v>4.894</v>
      </c>
      <c r="AN79" s="376">
        <v>9.961410689886756</v>
      </c>
      <c r="AO79" s="377"/>
      <c r="AP79" s="378">
        <v>111.81004097523953</v>
      </c>
      <c r="AQ79" s="379">
        <v>76.73758097523952</v>
      </c>
      <c r="AR79" s="31"/>
      <c r="AS79" s="31"/>
      <c r="AT79" s="374">
        <f>K79</f>
        <v>5.836</v>
      </c>
      <c r="AU79" s="374"/>
      <c r="AV79" s="374">
        <f>AN79</f>
        <v>9.961410689886756</v>
      </c>
      <c r="AZ79" s="1051"/>
    </row>
    <row r="80" spans="3:48" s="14" customFormat="1" ht="15.75" customHeight="1">
      <c r="C80" s="14" t="s">
        <v>31</v>
      </c>
      <c r="E80" s="14">
        <v>2013</v>
      </c>
      <c r="G80" s="21"/>
      <c r="I80" s="42" t="s">
        <v>26</v>
      </c>
      <c r="K80" s="374">
        <v>20.72</v>
      </c>
      <c r="L80" s="31"/>
      <c r="M80" s="375">
        <v>54.925</v>
      </c>
      <c r="N80" s="374">
        <v>51.25988888888889</v>
      </c>
      <c r="O80" s="376">
        <v>33.2009</v>
      </c>
      <c r="P80" s="374">
        <v>0.896</v>
      </c>
      <c r="Q80" s="376">
        <v>67.44</v>
      </c>
      <c r="R80" s="374">
        <v>491.769</v>
      </c>
      <c r="S80" s="376">
        <v>22.026999999999997</v>
      </c>
      <c r="T80" s="374">
        <v>10.92</v>
      </c>
      <c r="U80" s="376">
        <v>21.345777777777776</v>
      </c>
      <c r="V80" s="374">
        <v>218.066</v>
      </c>
      <c r="W80" s="376">
        <v>34.859</v>
      </c>
      <c r="X80" s="374">
        <v>229.11299999999997</v>
      </c>
      <c r="Y80" s="376">
        <v>12.590999999999998</v>
      </c>
      <c r="Z80" s="376">
        <v>47.70770999999999</v>
      </c>
      <c r="AA80" s="374">
        <v>10.067</v>
      </c>
      <c r="AB80" s="376">
        <v>154.42600000000002</v>
      </c>
      <c r="AC80" s="374">
        <v>38.2542</v>
      </c>
      <c r="AD80" s="376">
        <v>8.481</v>
      </c>
      <c r="AE80" s="374">
        <v>36.676</v>
      </c>
      <c r="AF80" s="376">
        <v>0.25</v>
      </c>
      <c r="AG80" s="374">
        <v>127.066</v>
      </c>
      <c r="AH80" s="376">
        <v>293.691</v>
      </c>
      <c r="AI80" s="374">
        <v>35.712078967642526</v>
      </c>
      <c r="AJ80" s="376">
        <v>56.43899999999999</v>
      </c>
      <c r="AK80" s="374">
        <v>55.524</v>
      </c>
      <c r="AL80" s="376">
        <v>19.358</v>
      </c>
      <c r="AM80" s="374">
        <v>42.479</v>
      </c>
      <c r="AN80" s="376">
        <v>190.04999999999995</v>
      </c>
      <c r="AO80" s="374"/>
      <c r="AP80" s="378">
        <v>2364.5935556343093</v>
      </c>
      <c r="AQ80" s="379">
        <v>1704.6907456343095</v>
      </c>
      <c r="AR80" s="31"/>
      <c r="AS80" s="31"/>
      <c r="AT80" s="374">
        <f>K80</f>
        <v>20.72</v>
      </c>
      <c r="AU80" s="374"/>
      <c r="AV80" s="374">
        <f>AN80</f>
        <v>190.04999999999995</v>
      </c>
    </row>
    <row r="81" spans="9:42" s="14" customFormat="1" ht="6" customHeight="1">
      <c r="I81" s="42"/>
      <c r="K81" s="15"/>
      <c r="M81" s="76"/>
      <c r="O81" s="42"/>
      <c r="Q81" s="42"/>
      <c r="S81" s="42"/>
      <c r="U81" s="42"/>
      <c r="W81" s="42"/>
      <c r="Y81" s="42"/>
      <c r="Z81" s="42"/>
      <c r="AB81" s="42"/>
      <c r="AD81" s="42"/>
      <c r="AF81" s="42"/>
      <c r="AH81" s="42"/>
      <c r="AJ81" s="42"/>
      <c r="AL81" s="42"/>
      <c r="AN81" s="42"/>
      <c r="AP81" s="42"/>
    </row>
    <row r="82" spans="2:42" s="14" customFormat="1" ht="15.75">
      <c r="B82" s="1" t="s">
        <v>113</v>
      </c>
      <c r="I82" s="42"/>
      <c r="K82" s="15"/>
      <c r="M82" s="76"/>
      <c r="N82" s="22"/>
      <c r="O82" s="42"/>
      <c r="Q82" s="42"/>
      <c r="S82" s="42"/>
      <c r="U82" s="42"/>
      <c r="W82" s="42"/>
      <c r="Y82" s="42"/>
      <c r="Z82" s="42"/>
      <c r="AB82" s="42"/>
      <c r="AD82" s="42"/>
      <c r="AF82" s="42"/>
      <c r="AH82" s="42"/>
      <c r="AJ82" s="42"/>
      <c r="AL82" s="42"/>
      <c r="AN82" s="42"/>
      <c r="AP82" s="42"/>
    </row>
    <row r="83" spans="3:52" s="14" customFormat="1" ht="15">
      <c r="C83" s="14" t="s">
        <v>41</v>
      </c>
      <c r="E83" s="14">
        <v>2013</v>
      </c>
      <c r="I83" s="42" t="s">
        <v>135</v>
      </c>
      <c r="J83" s="246"/>
      <c r="K83" s="364">
        <f>K76/K$80*100</f>
        <v>59.97586872586873</v>
      </c>
      <c r="L83" s="386"/>
      <c r="M83" s="359">
        <f aca="true" t="shared" si="11" ref="M83:AP83">M76/M$80*100</f>
        <v>44.083750568957676</v>
      </c>
      <c r="N83" s="362">
        <f t="shared" si="11"/>
        <v>63.9798499584904</v>
      </c>
      <c r="O83" s="359">
        <f t="shared" si="11"/>
        <v>81.61525741772061</v>
      </c>
      <c r="P83" s="362">
        <f t="shared" si="11"/>
        <v>70.75892857142857</v>
      </c>
      <c r="Q83" s="359">
        <f t="shared" si="11"/>
        <v>81.39531435349942</v>
      </c>
      <c r="R83" s="362">
        <f t="shared" si="11"/>
        <v>62.172280074587874</v>
      </c>
      <c r="S83" s="359">
        <f t="shared" si="11"/>
        <v>72.96499750306442</v>
      </c>
      <c r="T83" s="362">
        <f t="shared" si="11"/>
        <v>54.81684981684981</v>
      </c>
      <c r="U83" s="359">
        <f t="shared" si="11"/>
        <v>88.87003414674773</v>
      </c>
      <c r="V83" s="362">
        <f t="shared" si="11"/>
        <v>88.32050846991278</v>
      </c>
      <c r="W83" s="359">
        <f t="shared" si="11"/>
        <v>70.07946297943141</v>
      </c>
      <c r="X83" s="362">
        <f t="shared" si="11"/>
        <v>74.84167201337333</v>
      </c>
      <c r="Y83" s="359">
        <f t="shared" si="11"/>
        <v>72.53593836867604</v>
      </c>
      <c r="Z83" s="359">
        <f t="shared" si="11"/>
        <v>75.07801149960878</v>
      </c>
      <c r="AA83" s="362">
        <f t="shared" si="11"/>
        <v>91.53670408264627</v>
      </c>
      <c r="AB83" s="359">
        <f t="shared" si="11"/>
        <v>82.39609910248274</v>
      </c>
      <c r="AC83" s="362">
        <f t="shared" si="11"/>
        <v>68.84995634466281</v>
      </c>
      <c r="AD83" s="359">
        <f t="shared" si="11"/>
        <v>101.47388279684</v>
      </c>
      <c r="AE83" s="362">
        <f t="shared" si="11"/>
        <v>34.943832479005344</v>
      </c>
      <c r="AF83" s="359">
        <f t="shared" si="11"/>
        <v>100</v>
      </c>
      <c r="AG83" s="362">
        <f t="shared" si="11"/>
        <v>55.23428769300993</v>
      </c>
      <c r="AH83" s="359">
        <f t="shared" si="11"/>
        <v>84.30425174758506</v>
      </c>
      <c r="AI83" s="362">
        <f t="shared" si="11"/>
        <v>102.36032473248397</v>
      </c>
      <c r="AJ83" s="359">
        <f t="shared" si="11"/>
        <v>60.288098655185266</v>
      </c>
      <c r="AK83" s="362">
        <f t="shared" si="11"/>
        <v>60.38649953173403</v>
      </c>
      <c r="AL83" s="359">
        <f t="shared" si="11"/>
        <v>82.16241347246616</v>
      </c>
      <c r="AM83" s="362">
        <f t="shared" si="11"/>
        <v>70.96918477365286</v>
      </c>
      <c r="AN83" s="359">
        <f t="shared" si="11"/>
        <v>77.44698763483295</v>
      </c>
      <c r="AO83" s="360"/>
      <c r="AP83" s="50">
        <f t="shared" si="11"/>
        <v>72.71642925283848</v>
      </c>
      <c r="AQ83" s="362">
        <f>AQ76/AQ$80*100</f>
        <v>71.49748440421577</v>
      </c>
      <c r="AR83" s="246"/>
      <c r="AS83" s="246"/>
      <c r="AT83" s="22">
        <f>K83</f>
        <v>59.97586872586873</v>
      </c>
      <c r="AU83" s="381"/>
      <c r="AV83" s="362">
        <f>AN83</f>
        <v>77.44698763483295</v>
      </c>
      <c r="AZ83" s="1053" t="s">
        <v>145</v>
      </c>
    </row>
    <row r="84" spans="3:52" s="14" customFormat="1" ht="15">
      <c r="C84" s="14" t="s">
        <v>42</v>
      </c>
      <c r="E84" s="14">
        <v>2013</v>
      </c>
      <c r="I84" s="42" t="s">
        <v>136</v>
      </c>
      <c r="J84" s="246"/>
      <c r="K84" s="364">
        <f>K77/K$80*100</f>
        <v>12.582046332046334</v>
      </c>
      <c r="L84" s="386"/>
      <c r="M84" s="359">
        <f aca="true" t="shared" si="12" ref="M84:AN84">M77/M$80*100</f>
        <v>35.09877105143377</v>
      </c>
      <c r="N84" s="362">
        <f t="shared" si="12"/>
        <v>14.202137690505248</v>
      </c>
      <c r="O84" s="359">
        <f t="shared" si="12"/>
        <v>9.776843398823527</v>
      </c>
      <c r="P84" s="362">
        <f t="shared" si="12"/>
        <v>0</v>
      </c>
      <c r="Q84" s="359">
        <f t="shared" si="12"/>
        <v>20.70729537366548</v>
      </c>
      <c r="R84" s="362">
        <f t="shared" si="12"/>
        <v>22.899572766888518</v>
      </c>
      <c r="S84" s="359">
        <f t="shared" si="12"/>
        <v>11.11363326826168</v>
      </c>
      <c r="T84" s="362">
        <f t="shared" si="12"/>
        <v>43.24175824175824</v>
      </c>
      <c r="U84" s="359">
        <f t="shared" si="12"/>
        <v>1.1102898309319562</v>
      </c>
      <c r="V84" s="362">
        <f t="shared" si="12"/>
        <v>4.28218979574991</v>
      </c>
      <c r="W84" s="359">
        <f t="shared" si="12"/>
        <v>27.166585386844144</v>
      </c>
      <c r="X84" s="362">
        <f t="shared" si="12"/>
        <v>13.971271817836614</v>
      </c>
      <c r="Y84" s="359">
        <f t="shared" si="12"/>
        <v>16.56738940513065</v>
      </c>
      <c r="Z84" s="359">
        <f t="shared" si="12"/>
        <v>20.378257518543652</v>
      </c>
      <c r="AA84" s="362">
        <f t="shared" si="12"/>
        <v>0.9834111453263137</v>
      </c>
      <c r="AB84" s="359">
        <f t="shared" si="12"/>
        <v>12.327587323378186</v>
      </c>
      <c r="AC84" s="362">
        <f t="shared" si="12"/>
        <v>34.88244428062801</v>
      </c>
      <c r="AD84" s="359">
        <f t="shared" si="12"/>
        <v>2.629406909562552</v>
      </c>
      <c r="AE84" s="362">
        <f t="shared" si="12"/>
        <v>53.25553495473879</v>
      </c>
      <c r="AF84" s="361">
        <f t="shared" si="12"/>
        <v>0</v>
      </c>
      <c r="AG84" s="362">
        <f t="shared" si="12"/>
        <v>4.783340940928336</v>
      </c>
      <c r="AH84" s="359">
        <f t="shared" si="12"/>
        <v>17.324671167996296</v>
      </c>
      <c r="AI84" s="362">
        <f t="shared" si="12"/>
        <v>6.4123962149470195</v>
      </c>
      <c r="AJ84" s="359">
        <f t="shared" si="12"/>
        <v>22.929180176828083</v>
      </c>
      <c r="AK84" s="362">
        <f t="shared" si="12"/>
        <v>37.7674519126864</v>
      </c>
      <c r="AL84" s="359">
        <f t="shared" si="12"/>
        <v>19.624961256328135</v>
      </c>
      <c r="AM84" s="362">
        <f t="shared" si="12"/>
        <v>19.99576261211422</v>
      </c>
      <c r="AN84" s="359">
        <f t="shared" si="12"/>
        <v>11.786898184688242</v>
      </c>
      <c r="AO84" s="360"/>
      <c r="AP84" s="50">
        <f>AP77/AP$80*100</f>
        <v>17.19128427087987</v>
      </c>
      <c r="AQ84" s="362">
        <f>AQ77/AQ$80*100</f>
        <v>15.473305095103997</v>
      </c>
      <c r="AR84" s="246"/>
      <c r="AS84" s="246"/>
      <c r="AT84" s="22">
        <f>K84</f>
        <v>12.582046332046334</v>
      </c>
      <c r="AU84" s="381"/>
      <c r="AV84" s="362">
        <f>AN84</f>
        <v>11.786898184688242</v>
      </c>
      <c r="AZ84" s="1053"/>
    </row>
    <row r="85" spans="3:52" s="14" customFormat="1" ht="15">
      <c r="C85" s="14" t="s">
        <v>43</v>
      </c>
      <c r="E85" s="14">
        <v>2013</v>
      </c>
      <c r="I85" s="42" t="s">
        <v>137</v>
      </c>
      <c r="J85" s="246"/>
      <c r="K85" s="364">
        <f>K78/K$80*100</f>
        <v>1.2644787644787647</v>
      </c>
      <c r="L85" s="386"/>
      <c r="M85" s="359">
        <f aca="true" t="shared" si="13" ref="M85:AN85">M78/M$80*100</f>
        <v>4.284023668639054</v>
      </c>
      <c r="N85" s="362">
        <f t="shared" si="13"/>
        <v>20.22048862116578</v>
      </c>
      <c r="O85" s="359">
        <f t="shared" si="13"/>
        <v>16.186308202488487</v>
      </c>
      <c r="P85" s="362">
        <f t="shared" si="13"/>
        <v>0</v>
      </c>
      <c r="Q85" s="359">
        <f t="shared" si="13"/>
        <v>0.0370699881376038</v>
      </c>
      <c r="R85" s="362">
        <f t="shared" si="13"/>
        <v>12.215084724738649</v>
      </c>
      <c r="S85" s="359">
        <f t="shared" si="13"/>
        <v>0</v>
      </c>
      <c r="T85" s="362">
        <f t="shared" si="13"/>
        <v>0</v>
      </c>
      <c r="U85" s="359">
        <f t="shared" si="13"/>
        <v>0</v>
      </c>
      <c r="V85" s="362">
        <f t="shared" si="13"/>
        <v>0</v>
      </c>
      <c r="W85" s="359">
        <f t="shared" si="13"/>
        <v>0.347112653834017</v>
      </c>
      <c r="X85" s="362">
        <f t="shared" si="13"/>
        <v>4.021159864346415</v>
      </c>
      <c r="Y85" s="359">
        <f t="shared" si="13"/>
        <v>6.1234214915415786</v>
      </c>
      <c r="Z85" s="359">
        <f t="shared" si="13"/>
        <v>4.0328911196953285</v>
      </c>
      <c r="AA85" s="362">
        <f t="shared" si="13"/>
        <v>0</v>
      </c>
      <c r="AB85" s="359">
        <f t="shared" si="13"/>
        <v>0.05763278204447437</v>
      </c>
      <c r="AC85" s="362">
        <f t="shared" si="13"/>
        <v>0</v>
      </c>
      <c r="AD85" s="359">
        <f t="shared" si="13"/>
        <v>3.690602523287348</v>
      </c>
      <c r="AE85" s="363">
        <f t="shared" si="13"/>
        <v>0</v>
      </c>
      <c r="AF85" s="359">
        <f t="shared" si="13"/>
        <v>0</v>
      </c>
      <c r="AG85" s="362">
        <f t="shared" si="13"/>
        <v>38.26908850518628</v>
      </c>
      <c r="AH85" s="359">
        <f t="shared" si="13"/>
        <v>0.030984946763775535</v>
      </c>
      <c r="AI85" s="362">
        <f t="shared" si="13"/>
        <v>0</v>
      </c>
      <c r="AJ85" s="359">
        <f t="shared" si="13"/>
        <v>21.690674887932108</v>
      </c>
      <c r="AK85" s="362">
        <f t="shared" si="13"/>
        <v>0</v>
      </c>
      <c r="AL85" s="359">
        <f t="shared" si="13"/>
        <v>0</v>
      </c>
      <c r="AM85" s="362">
        <f t="shared" si="13"/>
        <v>2.3682290072741825</v>
      </c>
      <c r="AN85" s="359">
        <f t="shared" si="13"/>
        <v>0.08681925808997634</v>
      </c>
      <c r="AO85" s="360"/>
      <c r="AP85" s="50">
        <f>AP78/AP$80*100</f>
        <v>6.459841677062536</v>
      </c>
      <c r="AQ85" s="362">
        <f>AQ78/AQ$80*100</f>
        <v>7.703215397649019</v>
      </c>
      <c r="AR85" s="246"/>
      <c r="AS85" s="246"/>
      <c r="AT85" s="22">
        <f>K85</f>
        <v>1.2644787644787647</v>
      </c>
      <c r="AU85" s="381"/>
      <c r="AV85" s="362">
        <f>AN85</f>
        <v>0.08681925808997634</v>
      </c>
      <c r="AZ85" s="1053"/>
    </row>
    <row r="86" spans="1:52" s="14" customFormat="1" ht="15">
      <c r="A86" s="6"/>
      <c r="B86" s="6"/>
      <c r="C86" s="6" t="s">
        <v>44</v>
      </c>
      <c r="D86" s="6"/>
      <c r="E86" s="6">
        <v>2013</v>
      </c>
      <c r="F86" s="6"/>
      <c r="G86" s="6"/>
      <c r="H86" s="6"/>
      <c r="I86" s="68" t="s">
        <v>138</v>
      </c>
      <c r="J86" s="249"/>
      <c r="K86" s="370">
        <f>K79/K$80*100</f>
        <v>28.16602316602317</v>
      </c>
      <c r="L86" s="387"/>
      <c r="M86" s="371">
        <f aca="true" t="shared" si="14" ref="M86:AN86">M79/M$80*100</f>
        <v>15.279016841147019</v>
      </c>
      <c r="N86" s="372">
        <f t="shared" si="14"/>
        <v>3.3027932763854997</v>
      </c>
      <c r="O86" s="371">
        <f t="shared" si="14"/>
        <v>1.90657482176688</v>
      </c>
      <c r="P86" s="372">
        <f t="shared" si="14"/>
        <v>0</v>
      </c>
      <c r="Q86" s="371">
        <f t="shared" si="14"/>
        <v>2.866251482799526</v>
      </c>
      <c r="R86" s="372">
        <f t="shared" si="14"/>
        <v>3.696857670979667</v>
      </c>
      <c r="S86" s="371">
        <f t="shared" si="14"/>
        <v>12.43473918372906</v>
      </c>
      <c r="T86" s="372">
        <f t="shared" si="14"/>
        <v>0</v>
      </c>
      <c r="U86" s="371">
        <f t="shared" si="14"/>
        <v>0.8811443818349458</v>
      </c>
      <c r="V86" s="372">
        <f t="shared" si="14"/>
        <v>3.9854906312767695</v>
      </c>
      <c r="W86" s="371">
        <f t="shared" si="14"/>
        <v>0</v>
      </c>
      <c r="X86" s="372">
        <f t="shared" si="14"/>
        <v>4.85088144278151</v>
      </c>
      <c r="Y86" s="371">
        <f t="shared" si="14"/>
        <v>8.950837900087366</v>
      </c>
      <c r="Z86" s="371">
        <f t="shared" si="14"/>
        <v>5.664618989257711</v>
      </c>
      <c r="AA86" s="372">
        <f t="shared" si="14"/>
        <v>0</v>
      </c>
      <c r="AB86" s="371">
        <f t="shared" si="14"/>
        <v>6.49113491251473</v>
      </c>
      <c r="AC86" s="372">
        <f t="shared" si="14"/>
        <v>1.4717338226913645</v>
      </c>
      <c r="AD86" s="371">
        <f t="shared" si="14"/>
        <v>0</v>
      </c>
      <c r="AE86" s="372">
        <f t="shared" si="14"/>
        <v>6.213872832369942</v>
      </c>
      <c r="AF86" s="371">
        <f t="shared" si="14"/>
        <v>0</v>
      </c>
      <c r="AG86" s="372">
        <f t="shared" si="14"/>
        <v>4.253694930193758</v>
      </c>
      <c r="AH86" s="371">
        <f t="shared" si="14"/>
        <v>6.848013728714873</v>
      </c>
      <c r="AI86" s="372">
        <f t="shared" si="14"/>
        <v>0.980270569846104</v>
      </c>
      <c r="AJ86" s="371">
        <f t="shared" si="14"/>
        <v>1.4688424670883609</v>
      </c>
      <c r="AK86" s="372">
        <f t="shared" si="14"/>
        <v>0</v>
      </c>
      <c r="AL86" s="371">
        <f t="shared" si="14"/>
        <v>0</v>
      </c>
      <c r="AM86" s="372">
        <f t="shared" si="14"/>
        <v>11.52098684055651</v>
      </c>
      <c r="AN86" s="371">
        <f t="shared" si="14"/>
        <v>5.241468397730471</v>
      </c>
      <c r="AO86" s="373"/>
      <c r="AP86" s="70">
        <f>AP79/AP$80*100</f>
        <v>4.7285099254719976</v>
      </c>
      <c r="AQ86" s="372">
        <f>AQ79/AQ$80*100</f>
        <v>4.501554382914523</v>
      </c>
      <c r="AR86" s="249"/>
      <c r="AS86" s="249"/>
      <c r="AT86" s="69">
        <f>K86</f>
        <v>28.16602316602317</v>
      </c>
      <c r="AU86" s="382"/>
      <c r="AV86" s="372">
        <f>AN86</f>
        <v>5.241468397730471</v>
      </c>
      <c r="AZ86" s="1053"/>
    </row>
    <row r="87" s="14" customFormat="1" ht="6" customHeight="1">
      <c r="K87" s="15"/>
    </row>
    <row r="88" spans="1:47" s="14" customFormat="1" ht="15">
      <c r="A88" s="14" t="s">
        <v>292</v>
      </c>
      <c r="K88" s="15"/>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row>
    <row r="89" s="14" customFormat="1" ht="8.25" customHeight="1">
      <c r="K89" s="15"/>
    </row>
    <row r="90" s="14" customFormat="1" ht="75" customHeight="1">
      <c r="K90" s="15"/>
    </row>
    <row r="91" spans="11:38" s="14" customFormat="1" ht="15">
      <c r="K91" s="15"/>
      <c r="N91" s="551"/>
      <c r="AK91" s="24"/>
      <c r="AL91" s="24"/>
    </row>
    <row r="92" spans="11:33" s="14" customFormat="1" ht="15">
      <c r="K92" s="15"/>
      <c r="AG92" s="155"/>
    </row>
    <row r="93" ht="15">
      <c r="M93" s="17"/>
    </row>
  </sheetData>
  <sheetProtection/>
  <mergeCells count="13">
    <mergeCell ref="AZ37:AZ38"/>
    <mergeCell ref="AZ40:AZ42"/>
    <mergeCell ref="AZ68:AZ71"/>
    <mergeCell ref="AZ78:AZ79"/>
    <mergeCell ref="AZ21:AZ27"/>
    <mergeCell ref="AZ44:AZ46"/>
    <mergeCell ref="AZ83:AZ86"/>
    <mergeCell ref="AT3:AV3"/>
    <mergeCell ref="G61:G65"/>
    <mergeCell ref="G26:G27"/>
    <mergeCell ref="AZ51:AZ58"/>
    <mergeCell ref="AZ33:AZ35"/>
    <mergeCell ref="AZ29:AZ31"/>
  </mergeCells>
  <printOptions/>
  <pageMargins left="0.5511811023622047" right="0.35433070866141736" top="0.8267716535433072" bottom="0.2362204724409449" header="0.5118110236220472" footer="0.5118110236220472"/>
  <pageSetup fitToHeight="4" fitToWidth="2" horizontalDpi="600" verticalDpi="600" orientation="landscape" pageOrder="overThenDown" paperSize="9" scale="55" r:id="rId1"/>
  <rowBreaks count="1" manualBreakCount="1">
    <brk id="58" max="48" man="1"/>
  </rowBreaks>
  <colBreaks count="1" manualBreakCount="1">
    <brk id="29" max="88" man="1"/>
  </colBreaks>
</worksheet>
</file>

<file path=xl/worksheets/sheet10.xml><?xml version="1.0" encoding="utf-8"?>
<worksheet xmlns="http://schemas.openxmlformats.org/spreadsheetml/2006/main" xmlns:r="http://schemas.openxmlformats.org/officeDocument/2006/relationships">
  <sheetPr>
    <tabColor rgb="FFFFFF00"/>
  </sheetPr>
  <dimension ref="A1:AD50"/>
  <sheetViews>
    <sheetView zoomScalePageLayoutView="0" workbookViewId="0" topLeftCell="A1">
      <selection activeCell="A1" sqref="A1"/>
    </sheetView>
  </sheetViews>
  <sheetFormatPr defaultColWidth="9.140625" defaultRowHeight="12.75"/>
  <cols>
    <col min="1" max="1" width="2.7109375" style="628" customWidth="1"/>
    <col min="2" max="2" width="4.28125" style="628" customWidth="1"/>
    <col min="3" max="20" width="6.7109375" style="628" customWidth="1"/>
    <col min="21" max="28" width="7.28125" style="628" customWidth="1"/>
    <col min="29" max="29" width="6.28125" style="628" customWidth="1"/>
    <col min="30" max="30" width="5.140625" style="628" customWidth="1"/>
    <col min="31" max="16384" width="9.140625" style="628" customWidth="1"/>
  </cols>
  <sheetData>
    <row r="1" spans="2:30" ht="14.25" customHeight="1">
      <c r="B1" s="625"/>
      <c r="C1" s="626"/>
      <c r="D1" s="626"/>
      <c r="E1" s="626"/>
      <c r="F1" s="626"/>
      <c r="G1" s="626"/>
      <c r="H1" s="626"/>
      <c r="I1" s="626"/>
      <c r="J1" s="626"/>
      <c r="K1" s="626"/>
      <c r="L1" s="626"/>
      <c r="M1" s="626"/>
      <c r="N1" s="626"/>
      <c r="O1" s="626"/>
      <c r="P1" s="626"/>
      <c r="Q1" s="629"/>
      <c r="T1" s="629"/>
      <c r="U1" s="629"/>
      <c r="V1" s="629"/>
      <c r="W1" s="629"/>
      <c r="X1" s="629"/>
      <c r="Y1" s="629"/>
      <c r="Z1" s="629"/>
      <c r="AA1" s="629"/>
      <c r="AB1" s="629"/>
      <c r="AD1" s="629" t="s">
        <v>179</v>
      </c>
    </row>
    <row r="2" spans="2:30" s="631" customFormat="1" ht="30" customHeight="1">
      <c r="B2" s="1095" t="s">
        <v>180</v>
      </c>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row>
    <row r="3" spans="3:30" ht="10.5" customHeight="1">
      <c r="C3" s="632"/>
      <c r="D3" s="632"/>
      <c r="E3" s="632"/>
      <c r="F3" s="632"/>
      <c r="G3" s="632"/>
      <c r="H3" s="632"/>
      <c r="I3" s="632"/>
      <c r="J3" s="632"/>
      <c r="K3" s="632"/>
      <c r="L3" s="632"/>
      <c r="M3" s="632"/>
      <c r="N3" s="632"/>
      <c r="O3" s="632"/>
      <c r="P3" s="632"/>
      <c r="Q3" s="632"/>
      <c r="R3" s="632"/>
      <c r="X3" s="632" t="s">
        <v>263</v>
      </c>
      <c r="Y3" s="632"/>
      <c r="Z3" s="632"/>
      <c r="AA3" s="632"/>
      <c r="AB3" s="632"/>
      <c r="AC3" s="633"/>
      <c r="AD3" s="632"/>
    </row>
    <row r="4" spans="2:30" ht="19.5" customHeight="1">
      <c r="B4" s="634"/>
      <c r="C4" s="635">
        <v>1970</v>
      </c>
      <c r="D4" s="635">
        <v>1980</v>
      </c>
      <c r="E4" s="636">
        <v>1990</v>
      </c>
      <c r="F4" s="636">
        <v>1991</v>
      </c>
      <c r="G4" s="636">
        <v>1992</v>
      </c>
      <c r="H4" s="636">
        <v>1993</v>
      </c>
      <c r="I4" s="636">
        <v>1994</v>
      </c>
      <c r="J4" s="636">
        <v>1995</v>
      </c>
      <c r="K4" s="636">
        <v>1996</v>
      </c>
      <c r="L4" s="636">
        <v>1997</v>
      </c>
      <c r="M4" s="636">
        <v>1998</v>
      </c>
      <c r="N4" s="636">
        <v>1999</v>
      </c>
      <c r="O4" s="636">
        <v>2000</v>
      </c>
      <c r="P4" s="636">
        <v>2001</v>
      </c>
      <c r="Q4" s="636">
        <v>2002</v>
      </c>
      <c r="R4" s="636">
        <v>2003</v>
      </c>
      <c r="S4" s="636">
        <v>2004</v>
      </c>
      <c r="T4" s="636">
        <v>2005</v>
      </c>
      <c r="U4" s="636">
        <v>2006</v>
      </c>
      <c r="V4" s="636">
        <v>2007</v>
      </c>
      <c r="W4" s="636">
        <v>2008</v>
      </c>
      <c r="X4" s="636">
        <v>2009</v>
      </c>
      <c r="Y4" s="636">
        <v>2010</v>
      </c>
      <c r="Z4" s="636">
        <v>2011</v>
      </c>
      <c r="AA4" s="636">
        <v>2012</v>
      </c>
      <c r="AB4" s="636">
        <v>2013</v>
      </c>
      <c r="AC4" s="637" t="s">
        <v>314</v>
      </c>
      <c r="AD4" s="740"/>
    </row>
    <row r="5" spans="2:30" ht="9.75" customHeight="1">
      <c r="B5" s="634"/>
      <c r="C5" s="741"/>
      <c r="D5" s="741"/>
      <c r="E5" s="642"/>
      <c r="F5" s="642"/>
      <c r="G5" s="642"/>
      <c r="H5" s="642"/>
      <c r="I5" s="642"/>
      <c r="J5" s="642"/>
      <c r="K5" s="642"/>
      <c r="L5" s="642"/>
      <c r="M5" s="642"/>
      <c r="N5" s="642"/>
      <c r="O5" s="642"/>
      <c r="P5" s="642"/>
      <c r="Q5" s="642"/>
      <c r="R5" s="642"/>
      <c r="S5" s="642"/>
      <c r="T5" s="642"/>
      <c r="U5" s="642"/>
      <c r="V5" s="642"/>
      <c r="W5" s="642"/>
      <c r="X5" s="642"/>
      <c r="Y5" s="642"/>
      <c r="Z5" s="642"/>
      <c r="AA5" s="642"/>
      <c r="AB5" s="642"/>
      <c r="AC5" s="742" t="s">
        <v>147</v>
      </c>
      <c r="AD5" s="740"/>
    </row>
    <row r="6" spans="2:30" ht="12.75" customHeight="1">
      <c r="B6" s="644" t="s">
        <v>260</v>
      </c>
      <c r="C6" s="743" t="s">
        <v>99</v>
      </c>
      <c r="D6" s="743" t="s">
        <v>99</v>
      </c>
      <c r="E6" s="744" t="s">
        <v>99</v>
      </c>
      <c r="F6" s="744" t="s">
        <v>99</v>
      </c>
      <c r="G6" s="744" t="s">
        <v>99</v>
      </c>
      <c r="H6" s="744" t="s">
        <v>99</v>
      </c>
      <c r="I6" s="744" t="s">
        <v>99</v>
      </c>
      <c r="J6" s="745">
        <f aca="true" t="shared" si="0" ref="J6:AA6">SUM(J9:J36)</f>
        <v>502.5101020616833</v>
      </c>
      <c r="K6" s="745">
        <f t="shared" si="0"/>
        <v>506.9855597168672</v>
      </c>
      <c r="L6" s="745">
        <f t="shared" si="0"/>
        <v>508.6880301707532</v>
      </c>
      <c r="M6" s="745">
        <f t="shared" si="0"/>
        <v>515.8069718704575</v>
      </c>
      <c r="N6" s="745">
        <f t="shared" si="0"/>
        <v>517.9729107197597</v>
      </c>
      <c r="O6" s="745">
        <f t="shared" si="0"/>
        <v>548.2944955979774</v>
      </c>
      <c r="P6" s="745">
        <f t="shared" si="0"/>
        <v>547.4729781554886</v>
      </c>
      <c r="Q6" s="745">
        <f t="shared" si="0"/>
        <v>538.5779277462746</v>
      </c>
      <c r="R6" s="745">
        <f t="shared" si="0"/>
        <v>542.8600321257724</v>
      </c>
      <c r="S6" s="745">
        <f t="shared" si="0"/>
        <v>543.9449702818135</v>
      </c>
      <c r="T6" s="745">
        <f t="shared" si="0"/>
        <v>540.7131611711324</v>
      </c>
      <c r="U6" s="745">
        <f t="shared" si="0"/>
        <v>537.0000804290815</v>
      </c>
      <c r="V6" s="745">
        <f t="shared" si="0"/>
        <v>549.2035116334465</v>
      </c>
      <c r="W6" s="745">
        <f t="shared" si="0"/>
        <v>554.4631135693176</v>
      </c>
      <c r="X6" s="745">
        <f t="shared" si="0"/>
        <v>533.7868383634674</v>
      </c>
      <c r="Y6" s="745">
        <f t="shared" si="0"/>
        <v>527.8024401914028</v>
      </c>
      <c r="Z6" s="745">
        <f t="shared" si="0"/>
        <v>530.1404147952568</v>
      </c>
      <c r="AA6" s="745">
        <f t="shared" si="0"/>
        <v>524.0977027639661</v>
      </c>
      <c r="AB6" s="745">
        <f>SUM(AB9:AB36)</f>
        <v>526.4842768382354</v>
      </c>
      <c r="AC6" s="649">
        <f>AB6/AA6*100-100</f>
        <v>0.45536816163914295</v>
      </c>
      <c r="AD6" s="644" t="s">
        <v>260</v>
      </c>
    </row>
    <row r="7" spans="1:30" ht="12.75" customHeight="1">
      <c r="A7" s="650"/>
      <c r="B7" s="651" t="s">
        <v>89</v>
      </c>
      <c r="C7" s="656">
        <f aca="true" t="shared" si="1" ref="C7:AB7">SUM(C9,C12:C13,C15,C16:C18,C24,C27:C28,C30,C34:C36,C20)</f>
        <v>272.649</v>
      </c>
      <c r="D7" s="656">
        <f t="shared" si="1"/>
        <v>351.629</v>
      </c>
      <c r="E7" s="746">
        <f t="shared" si="1"/>
        <v>367.49238409549326</v>
      </c>
      <c r="F7" s="746">
        <f t="shared" si="1"/>
        <v>367.6893811289022</v>
      </c>
      <c r="G7" s="746">
        <f t="shared" si="1"/>
        <v>367.934715723156</v>
      </c>
      <c r="H7" s="746">
        <f t="shared" si="1"/>
        <v>369.30460778050565</v>
      </c>
      <c r="I7" s="746">
        <f t="shared" si="1"/>
        <v>369.0326003048493</v>
      </c>
      <c r="J7" s="746">
        <f t="shared" si="1"/>
        <v>377.30368706168326</v>
      </c>
      <c r="K7" s="746">
        <f t="shared" si="1"/>
        <v>384.6109417168671</v>
      </c>
      <c r="L7" s="746">
        <f t="shared" si="1"/>
        <v>386.9771631707531</v>
      </c>
      <c r="M7" s="746">
        <f t="shared" si="1"/>
        <v>394.5210248704576</v>
      </c>
      <c r="N7" s="746">
        <f t="shared" si="1"/>
        <v>396.60512771975976</v>
      </c>
      <c r="O7" s="746">
        <f t="shared" si="1"/>
        <v>402.1405850979774</v>
      </c>
      <c r="P7" s="746">
        <f t="shared" si="1"/>
        <v>404.12828393548864</v>
      </c>
      <c r="Q7" s="746">
        <f t="shared" si="1"/>
        <v>397.1349463762747</v>
      </c>
      <c r="R7" s="746">
        <f t="shared" si="1"/>
        <v>404.68738772577245</v>
      </c>
      <c r="S7" s="746">
        <f t="shared" si="1"/>
        <v>409.0039540518136</v>
      </c>
      <c r="T7" s="746">
        <f t="shared" si="1"/>
        <v>406.5090097111324</v>
      </c>
      <c r="U7" s="746">
        <f t="shared" si="1"/>
        <v>403.18735042908156</v>
      </c>
      <c r="V7" s="746">
        <f t="shared" si="1"/>
        <v>416.0694696334465</v>
      </c>
      <c r="W7" s="746">
        <f t="shared" si="1"/>
        <v>420.3638089693176</v>
      </c>
      <c r="X7" s="746">
        <f t="shared" si="1"/>
        <v>413.47070886905675</v>
      </c>
      <c r="Y7" s="746">
        <f t="shared" si="1"/>
        <v>409.56004269140277</v>
      </c>
      <c r="Z7" s="746">
        <f t="shared" si="1"/>
        <v>414.23825812458966</v>
      </c>
      <c r="AA7" s="746">
        <f t="shared" si="1"/>
        <v>408.12472643741387</v>
      </c>
      <c r="AB7" s="746">
        <f t="shared" si="1"/>
        <v>411.0912663374024</v>
      </c>
      <c r="AC7" s="656">
        <f aca="true" t="shared" si="2" ref="AC7:AC44">AB7/AA7*100-100</f>
        <v>0.7268709068141845</v>
      </c>
      <c r="AD7" s="651" t="s">
        <v>89</v>
      </c>
    </row>
    <row r="8" spans="1:30" ht="12.75" customHeight="1">
      <c r="A8" s="650"/>
      <c r="B8" s="657" t="s">
        <v>261</v>
      </c>
      <c r="C8" s="747"/>
      <c r="D8" s="747"/>
      <c r="E8" s="748"/>
      <c r="F8" s="749"/>
      <c r="G8" s="749"/>
      <c r="H8" s="749"/>
      <c r="I8" s="749"/>
      <c r="J8" s="748">
        <f aca="true" t="shared" si="3" ref="J8:AB8">J6-J7</f>
        <v>125.20641500000005</v>
      </c>
      <c r="K8" s="748">
        <f t="shared" si="3"/>
        <v>122.37461800000011</v>
      </c>
      <c r="L8" s="748">
        <f t="shared" si="3"/>
        <v>121.71086700000012</v>
      </c>
      <c r="M8" s="748">
        <f t="shared" si="3"/>
        <v>121.28594699999985</v>
      </c>
      <c r="N8" s="748">
        <f t="shared" si="3"/>
        <v>121.36778299999997</v>
      </c>
      <c r="O8" s="748">
        <f t="shared" si="3"/>
        <v>146.1539105</v>
      </c>
      <c r="P8" s="748">
        <f t="shared" si="3"/>
        <v>143.34469421999995</v>
      </c>
      <c r="Q8" s="748">
        <f t="shared" si="3"/>
        <v>141.44298136999987</v>
      </c>
      <c r="R8" s="748">
        <f t="shared" si="3"/>
        <v>138.1726443999999</v>
      </c>
      <c r="S8" s="748">
        <f t="shared" si="3"/>
        <v>134.94101622999995</v>
      </c>
      <c r="T8" s="748">
        <f t="shared" si="3"/>
        <v>134.20415145999993</v>
      </c>
      <c r="U8" s="748">
        <f t="shared" si="3"/>
        <v>133.81273</v>
      </c>
      <c r="V8" s="748">
        <f t="shared" si="3"/>
        <v>133.13404200000002</v>
      </c>
      <c r="W8" s="748">
        <f t="shared" si="3"/>
        <v>134.09930459999998</v>
      </c>
      <c r="X8" s="748">
        <f t="shared" si="3"/>
        <v>120.31612949441063</v>
      </c>
      <c r="Y8" s="748">
        <f t="shared" si="3"/>
        <v>118.24239749999998</v>
      </c>
      <c r="Z8" s="748">
        <f t="shared" si="3"/>
        <v>115.90215667066713</v>
      </c>
      <c r="AA8" s="748">
        <f t="shared" si="3"/>
        <v>115.97297632655227</v>
      </c>
      <c r="AB8" s="748">
        <f t="shared" si="3"/>
        <v>115.39301050083299</v>
      </c>
      <c r="AC8" s="662">
        <f t="shared" si="2"/>
        <v>-0.5000870410415672</v>
      </c>
      <c r="AD8" s="657" t="s">
        <v>261</v>
      </c>
    </row>
    <row r="9" spans="1:30" s="679" customFormat="1" ht="12.75" customHeight="1">
      <c r="A9" s="671"/>
      <c r="B9" s="663" t="s">
        <v>60</v>
      </c>
      <c r="C9" s="664">
        <v>12.153</v>
      </c>
      <c r="D9" s="664">
        <v>14.422</v>
      </c>
      <c r="E9" s="676">
        <v>11.371379813302717</v>
      </c>
      <c r="F9" s="676">
        <v>11.928856672785459</v>
      </c>
      <c r="G9" s="676">
        <v>12.208590988011615</v>
      </c>
      <c r="H9" s="676">
        <v>12.449307712355173</v>
      </c>
      <c r="I9" s="676">
        <v>12.920557778575041</v>
      </c>
      <c r="J9" s="676">
        <v>13.1163927490109</v>
      </c>
      <c r="K9" s="676">
        <v>13.048036161999931</v>
      </c>
      <c r="L9" s="691">
        <v>13.062294037072977</v>
      </c>
      <c r="M9" s="691">
        <v>13.264206083397962</v>
      </c>
      <c r="N9" s="692">
        <v>13.441653719101833</v>
      </c>
      <c r="O9" s="691">
        <v>13.298261168538518</v>
      </c>
      <c r="P9" s="691">
        <v>13.785338279369089</v>
      </c>
      <c r="Q9" s="691">
        <v>14.959423828844177</v>
      </c>
      <c r="R9" s="691">
        <v>16.483572017775955</v>
      </c>
      <c r="S9" s="691">
        <v>17.1429920041393</v>
      </c>
      <c r="T9" s="691">
        <v>17.51504805548251</v>
      </c>
      <c r="U9" s="691">
        <v>18.078005341336816</v>
      </c>
      <c r="V9" s="691">
        <v>18.729636998103302</v>
      </c>
      <c r="W9" s="691">
        <v>17.61</v>
      </c>
      <c r="X9" s="691">
        <v>17.63</v>
      </c>
      <c r="Y9" s="691">
        <v>17.38</v>
      </c>
      <c r="Z9" s="691">
        <v>17.67</v>
      </c>
      <c r="AA9" s="691">
        <v>17.91</v>
      </c>
      <c r="AB9" s="691">
        <v>21.5159</v>
      </c>
      <c r="AC9" s="666">
        <f t="shared" si="2"/>
        <v>20.13344500279173</v>
      </c>
      <c r="AD9" s="663" t="s">
        <v>60</v>
      </c>
    </row>
    <row r="10" spans="1:30" ht="12.75" customHeight="1">
      <c r="A10" s="650"/>
      <c r="B10" s="651" t="s">
        <v>101</v>
      </c>
      <c r="C10" s="667">
        <v>12.235</v>
      </c>
      <c r="D10" s="667">
        <v>21.614</v>
      </c>
      <c r="E10" s="668">
        <v>25.955</v>
      </c>
      <c r="F10" s="668">
        <v>19.026</v>
      </c>
      <c r="G10" s="668">
        <v>16.957</v>
      </c>
      <c r="H10" s="668">
        <v>14.062</v>
      </c>
      <c r="I10" s="668">
        <v>12.817</v>
      </c>
      <c r="J10" s="680">
        <v>11.566</v>
      </c>
      <c r="K10" s="680">
        <v>10.577</v>
      </c>
      <c r="L10" s="680">
        <v>11.863</v>
      </c>
      <c r="M10" s="680">
        <v>12.764</v>
      </c>
      <c r="N10" s="680">
        <v>14.741</v>
      </c>
      <c r="O10" s="680">
        <v>14.587</v>
      </c>
      <c r="P10" s="680">
        <v>14.963</v>
      </c>
      <c r="Q10" s="680">
        <v>16.985</v>
      </c>
      <c r="R10" s="680">
        <v>14.4</v>
      </c>
      <c r="S10" s="680">
        <v>13.029</v>
      </c>
      <c r="T10" s="668">
        <v>13.688</v>
      </c>
      <c r="U10" s="668">
        <v>12.942</v>
      </c>
      <c r="V10" s="668">
        <v>13.571</v>
      </c>
      <c r="W10" s="668">
        <v>13.839</v>
      </c>
      <c r="X10" s="668">
        <v>10.451</v>
      </c>
      <c r="Y10" s="668">
        <v>10.613</v>
      </c>
      <c r="Z10" s="668">
        <v>10.843</v>
      </c>
      <c r="AA10" s="668">
        <v>10.482</v>
      </c>
      <c r="AB10" s="668">
        <v>10.317</v>
      </c>
      <c r="AC10" s="693">
        <f t="shared" si="2"/>
        <v>-1.5741270749856824</v>
      </c>
      <c r="AD10" s="651" t="s">
        <v>101</v>
      </c>
    </row>
    <row r="11" spans="1:30" s="679" customFormat="1" ht="12.75" customHeight="1">
      <c r="A11" s="671"/>
      <c r="B11" s="663" t="s">
        <v>61</v>
      </c>
      <c r="C11" s="750"/>
      <c r="D11" s="750"/>
      <c r="E11" s="751"/>
      <c r="F11" s="676" t="s">
        <v>99</v>
      </c>
      <c r="G11" s="676" t="s">
        <v>99</v>
      </c>
      <c r="H11" s="676">
        <v>13.617</v>
      </c>
      <c r="I11" s="752">
        <v>11.523</v>
      </c>
      <c r="J11" s="676">
        <f>11.7632+1.1693+5.668</f>
        <v>18.6005</v>
      </c>
      <c r="K11" s="676">
        <f>9.7292+1.2833+5.59</f>
        <v>16.6025</v>
      </c>
      <c r="L11" s="676">
        <f>8.804+1.2948+5.512</f>
        <v>15.610800000000001</v>
      </c>
      <c r="M11" s="676">
        <f>8.6809+1.234+5.4582</f>
        <v>15.373099999999999</v>
      </c>
      <c r="N11" s="752">
        <f>8.649+1.2615+5.5333</f>
        <v>15.4438</v>
      </c>
      <c r="O11" s="676">
        <f>9.3513+1.221+5.599</f>
        <v>16.171300000000002</v>
      </c>
      <c r="P11" s="676">
        <f>10.6081+1.2103+5.7009</f>
        <v>17.5193</v>
      </c>
      <c r="Q11" s="676">
        <f>9.6675+1.1339+5.7291</f>
        <v>16.5305</v>
      </c>
      <c r="R11" s="676">
        <f>9.4486+1.1103+5.8659</f>
        <v>16.4248</v>
      </c>
      <c r="S11" s="676">
        <f>8.5162+1.1043+5.5975</f>
        <v>15.218</v>
      </c>
      <c r="T11" s="676">
        <f>8.6073+7.0006</f>
        <v>15.6079</v>
      </c>
      <c r="U11" s="676">
        <f>9.5012+6.5139</f>
        <v>16.0151</v>
      </c>
      <c r="V11" s="676">
        <f>9.5188+6.6021</f>
        <v>16.1209</v>
      </c>
      <c r="W11" s="676">
        <f>9.3691+6.7378</f>
        <v>16.1069</v>
      </c>
      <c r="X11" s="676">
        <v>16.062</v>
      </c>
      <c r="Y11" s="676">
        <f>10.3357+1.0618+5.5581</f>
        <v>16.955599999999997</v>
      </c>
      <c r="Z11" s="676">
        <f>1.0184+5.5477+9.2667</f>
        <v>15.832799999999999</v>
      </c>
      <c r="AA11" s="676">
        <f>9.0154+0.8681+5.4433</f>
        <v>15.326799999999999</v>
      </c>
      <c r="AB11" s="676">
        <f>0.9886+5.7067+9.0256</f>
        <v>15.7209</v>
      </c>
      <c r="AC11" s="678">
        <f t="shared" si="2"/>
        <v>2.5713129942323434</v>
      </c>
      <c r="AD11" s="663" t="s">
        <v>61</v>
      </c>
    </row>
    <row r="12" spans="1:30" ht="12.75" customHeight="1">
      <c r="A12" s="650"/>
      <c r="B12" s="651" t="s">
        <v>14</v>
      </c>
      <c r="C12" s="667">
        <v>3.898</v>
      </c>
      <c r="D12" s="667">
        <v>4.611</v>
      </c>
      <c r="E12" s="668">
        <v>6.443</v>
      </c>
      <c r="F12" s="668">
        <v>6.394</v>
      </c>
      <c r="G12" s="668">
        <v>6.421</v>
      </c>
      <c r="H12" s="668">
        <v>6.601</v>
      </c>
      <c r="I12" s="668">
        <v>6.745</v>
      </c>
      <c r="J12" s="668">
        <v>7.284</v>
      </c>
      <c r="K12" s="668">
        <v>7.717</v>
      </c>
      <c r="L12" s="668">
        <v>7.596</v>
      </c>
      <c r="M12" s="668">
        <v>7.543</v>
      </c>
      <c r="N12" s="668">
        <v>7.397</v>
      </c>
      <c r="O12" s="668">
        <v>7.418</v>
      </c>
      <c r="P12" s="668">
        <v>7.327</v>
      </c>
      <c r="Q12" s="668">
        <v>7.292</v>
      </c>
      <c r="R12" s="668">
        <v>7.272</v>
      </c>
      <c r="S12" s="668">
        <v>7.3</v>
      </c>
      <c r="T12" s="668">
        <v>7.169</v>
      </c>
      <c r="U12" s="668">
        <v>7.054</v>
      </c>
      <c r="V12" s="668">
        <v>6.854</v>
      </c>
      <c r="W12" s="668">
        <v>6.757</v>
      </c>
      <c r="X12" s="668">
        <v>6.772</v>
      </c>
      <c r="Y12" s="668">
        <v>6.845</v>
      </c>
      <c r="Z12" s="668">
        <v>6.7</v>
      </c>
      <c r="AA12" s="668">
        <v>6.522</v>
      </c>
      <c r="AB12" s="668">
        <v>6.543</v>
      </c>
      <c r="AC12" s="681">
        <f t="shared" si="2"/>
        <v>0.32198712051518896</v>
      </c>
      <c r="AD12" s="651" t="s">
        <v>14</v>
      </c>
    </row>
    <row r="13" spans="1:30" s="679" customFormat="1" ht="12.75" customHeight="1">
      <c r="A13" s="671"/>
      <c r="B13" s="663" t="s">
        <v>63</v>
      </c>
      <c r="C13" s="753">
        <v>67.7</v>
      </c>
      <c r="D13" s="754">
        <v>90</v>
      </c>
      <c r="E13" s="676">
        <v>73.1</v>
      </c>
      <c r="F13" s="676">
        <v>70.3</v>
      </c>
      <c r="G13" s="676">
        <v>69.9</v>
      </c>
      <c r="H13" s="676">
        <v>70.2</v>
      </c>
      <c r="I13" s="676">
        <v>68.6</v>
      </c>
      <c r="J13" s="676">
        <v>68.5</v>
      </c>
      <c r="K13" s="676">
        <v>68.3</v>
      </c>
      <c r="L13" s="676">
        <v>68</v>
      </c>
      <c r="M13" s="676">
        <v>68.2</v>
      </c>
      <c r="N13" s="676">
        <v>68</v>
      </c>
      <c r="O13" s="676">
        <v>69</v>
      </c>
      <c r="P13" s="676">
        <v>68.7</v>
      </c>
      <c r="Q13" s="676">
        <v>67.5</v>
      </c>
      <c r="R13" s="676">
        <v>67.5</v>
      </c>
      <c r="S13" s="676">
        <f>40.359+27.447</f>
        <v>67.806</v>
      </c>
      <c r="T13" s="676">
        <f>40.365+26.697</f>
        <v>67.062</v>
      </c>
      <c r="U13" s="676">
        <f>38.542+1.495+26.147</f>
        <v>66.184</v>
      </c>
      <c r="V13" s="676">
        <f>40.141+25.246</f>
        <v>65.387</v>
      </c>
      <c r="W13" s="676">
        <f>39.479+24.113</f>
        <v>63.592</v>
      </c>
      <c r="X13" s="676">
        <v>62.097</v>
      </c>
      <c r="Y13" s="676">
        <v>61.767</v>
      </c>
      <c r="Z13" s="676">
        <v>61.4</v>
      </c>
      <c r="AA13" s="676">
        <v>59.4</v>
      </c>
      <c r="AB13" s="676">
        <v>60.5</v>
      </c>
      <c r="AC13" s="684">
        <f t="shared" si="2"/>
        <v>1.8518518518518619</v>
      </c>
      <c r="AD13" s="663" t="s">
        <v>63</v>
      </c>
    </row>
    <row r="14" spans="1:30" ht="12.75" customHeight="1">
      <c r="A14" s="650"/>
      <c r="B14" s="651" t="s">
        <v>64</v>
      </c>
      <c r="C14" s="667">
        <v>2.61</v>
      </c>
      <c r="D14" s="667">
        <v>3.66</v>
      </c>
      <c r="E14" s="668">
        <v>4.45</v>
      </c>
      <c r="F14" s="668">
        <v>3.83</v>
      </c>
      <c r="G14" s="668">
        <v>2.97</v>
      </c>
      <c r="H14" s="668">
        <v>2.54</v>
      </c>
      <c r="I14" s="668">
        <v>2.35</v>
      </c>
      <c r="J14" s="668">
        <v>2.048</v>
      </c>
      <c r="K14" s="668">
        <v>2.091</v>
      </c>
      <c r="L14" s="668">
        <v>2.238</v>
      </c>
      <c r="M14" s="668">
        <v>2.265</v>
      </c>
      <c r="N14" s="668">
        <v>2.223</v>
      </c>
      <c r="O14" s="668">
        <v>2.63</v>
      </c>
      <c r="P14" s="668">
        <v>2.461</v>
      </c>
      <c r="Q14" s="668">
        <v>2.33</v>
      </c>
      <c r="R14" s="668">
        <v>2.297</v>
      </c>
      <c r="S14" s="668">
        <v>2.469</v>
      </c>
      <c r="T14" s="668">
        <v>2.716</v>
      </c>
      <c r="U14" s="668">
        <v>2.881</v>
      </c>
      <c r="V14" s="668">
        <v>2.677</v>
      </c>
      <c r="W14" s="668">
        <v>2.453</v>
      </c>
      <c r="X14" s="668">
        <v>2.114</v>
      </c>
      <c r="Y14" s="668">
        <f>2.061</f>
        <v>2.061</v>
      </c>
      <c r="Z14" s="668">
        <v>2.0706943</v>
      </c>
      <c r="AA14" s="668">
        <v>2.2335885</v>
      </c>
      <c r="AB14" s="668">
        <f>2.4146148</f>
        <v>2.4146148</v>
      </c>
      <c r="AC14" s="693">
        <f t="shared" si="2"/>
        <v>8.104729228324729</v>
      </c>
      <c r="AD14" s="651" t="s">
        <v>64</v>
      </c>
    </row>
    <row r="15" spans="1:30" ht="12.75" customHeight="1">
      <c r="A15" s="650"/>
      <c r="B15" s="663" t="s">
        <v>68</v>
      </c>
      <c r="C15" s="664">
        <v>3.3</v>
      </c>
      <c r="D15" s="664">
        <v>4.5</v>
      </c>
      <c r="E15" s="691">
        <v>3.86</v>
      </c>
      <c r="F15" s="691">
        <v>4.1</v>
      </c>
      <c r="G15" s="691">
        <v>4.3</v>
      </c>
      <c r="H15" s="691">
        <v>4.49</v>
      </c>
      <c r="I15" s="691">
        <v>5</v>
      </c>
      <c r="J15" s="691">
        <v>5.15</v>
      </c>
      <c r="K15" s="691">
        <v>5.3</v>
      </c>
      <c r="L15" s="692">
        <v>5.5</v>
      </c>
      <c r="M15" s="692">
        <v>5.7</v>
      </c>
      <c r="N15" s="692">
        <v>5.9</v>
      </c>
      <c r="O15" s="755">
        <v>6.9632</v>
      </c>
      <c r="P15" s="692">
        <v>7.2896</v>
      </c>
      <c r="Q15" s="692">
        <v>7.2624</v>
      </c>
      <c r="R15" s="692">
        <v>7.5344</v>
      </c>
      <c r="S15" s="692">
        <v>7.8608</v>
      </c>
      <c r="T15" s="692">
        <v>7.9152</v>
      </c>
      <c r="U15" s="692">
        <v>8.024</v>
      </c>
      <c r="V15" s="692">
        <v>8.296</v>
      </c>
      <c r="W15" s="692">
        <v>8.568</v>
      </c>
      <c r="X15" s="692">
        <v>8.9488</v>
      </c>
      <c r="Y15" s="692">
        <v>8.4592</v>
      </c>
      <c r="Z15" s="692">
        <v>8.3776</v>
      </c>
      <c r="AA15" s="692">
        <v>8.1056</v>
      </c>
      <c r="AB15" s="692">
        <v>8.1328</v>
      </c>
      <c r="AC15" s="688">
        <f t="shared" si="2"/>
        <v>0.3355704697986397</v>
      </c>
      <c r="AD15" s="663" t="s">
        <v>68</v>
      </c>
    </row>
    <row r="16" spans="1:30" ht="12.75" customHeight="1">
      <c r="A16" s="650"/>
      <c r="B16" s="651" t="s">
        <v>15</v>
      </c>
      <c r="C16" s="667">
        <v>9.425</v>
      </c>
      <c r="D16" s="667">
        <v>15.621</v>
      </c>
      <c r="E16" s="668">
        <v>17.718</v>
      </c>
      <c r="F16" s="668">
        <v>17.968</v>
      </c>
      <c r="G16" s="668">
        <v>18.549</v>
      </c>
      <c r="H16" s="668">
        <v>18.922</v>
      </c>
      <c r="I16" s="668">
        <v>19.578</v>
      </c>
      <c r="J16" s="668">
        <v>20.221</v>
      </c>
      <c r="K16" s="668">
        <v>20.449</v>
      </c>
      <c r="L16" s="668">
        <v>20.695</v>
      </c>
      <c r="M16" s="668">
        <v>21.2</v>
      </c>
      <c r="N16" s="668">
        <v>21.5</v>
      </c>
      <c r="O16" s="668">
        <v>21.7</v>
      </c>
      <c r="P16" s="669">
        <v>21.8</v>
      </c>
      <c r="Q16" s="669">
        <v>22</v>
      </c>
      <c r="R16" s="669">
        <v>21.95</v>
      </c>
      <c r="S16" s="669">
        <v>21.6</v>
      </c>
      <c r="T16" s="669">
        <v>21.7</v>
      </c>
      <c r="U16" s="669">
        <v>21.8</v>
      </c>
      <c r="V16" s="669">
        <v>22</v>
      </c>
      <c r="W16" s="669">
        <v>22.1</v>
      </c>
      <c r="X16" s="669">
        <v>20.919043007800454</v>
      </c>
      <c r="Y16" s="669">
        <v>21.1</v>
      </c>
      <c r="Z16" s="669">
        <v>21.161722909489495</v>
      </c>
      <c r="AA16" s="669">
        <v>21.09610045397415</v>
      </c>
      <c r="AB16" s="669">
        <v>21.028128543117838</v>
      </c>
      <c r="AC16" s="670">
        <f t="shared" si="2"/>
        <v>-0.3222013044761951</v>
      </c>
      <c r="AD16" s="651" t="s">
        <v>15</v>
      </c>
    </row>
    <row r="17" spans="1:30" ht="12.75" customHeight="1">
      <c r="A17" s="650"/>
      <c r="B17" s="663" t="s">
        <v>66</v>
      </c>
      <c r="C17" s="664">
        <v>20.911</v>
      </c>
      <c r="D17" s="664">
        <v>28.099</v>
      </c>
      <c r="E17" s="691">
        <v>33.36</v>
      </c>
      <c r="F17" s="691">
        <v>35.45</v>
      </c>
      <c r="G17" s="691">
        <v>35.52</v>
      </c>
      <c r="H17" s="691">
        <v>37.09</v>
      </c>
      <c r="I17" s="691">
        <v>38.13</v>
      </c>
      <c r="J17" s="691">
        <v>39.6</v>
      </c>
      <c r="K17" s="692">
        <v>44</v>
      </c>
      <c r="L17" s="691">
        <v>43.97</v>
      </c>
      <c r="M17" s="691">
        <v>49.4</v>
      </c>
      <c r="N17" s="691">
        <v>50</v>
      </c>
      <c r="O17" s="691">
        <v>50.278</v>
      </c>
      <c r="P17" s="691">
        <v>51.712</v>
      </c>
      <c r="Q17" s="691">
        <v>50.053</v>
      </c>
      <c r="R17" s="691">
        <v>49.209</v>
      </c>
      <c r="S17" s="691">
        <v>53.458</v>
      </c>
      <c r="T17" s="691">
        <v>53.176</v>
      </c>
      <c r="U17" s="691">
        <v>49.369</v>
      </c>
      <c r="V17" s="691">
        <v>59.163</v>
      </c>
      <c r="W17" s="691">
        <v>60.864</v>
      </c>
      <c r="X17" s="691">
        <v>57.043</v>
      </c>
      <c r="Y17" s="691">
        <v>50.902</v>
      </c>
      <c r="Z17" s="691">
        <v>55.742</v>
      </c>
      <c r="AA17" s="691">
        <v>54.531</v>
      </c>
      <c r="AB17" s="691">
        <v>51.834</v>
      </c>
      <c r="AC17" s="666">
        <f t="shared" si="2"/>
        <v>-4.945810639819541</v>
      </c>
      <c r="AD17" s="663" t="s">
        <v>66</v>
      </c>
    </row>
    <row r="18" spans="1:30" ht="12.75" customHeight="1">
      <c r="A18" s="650"/>
      <c r="B18" s="651" t="s">
        <v>67</v>
      </c>
      <c r="C18" s="667">
        <v>25.2</v>
      </c>
      <c r="D18" s="667">
        <v>38</v>
      </c>
      <c r="E18" s="668">
        <v>40.672438885832804</v>
      </c>
      <c r="F18" s="668">
        <v>42.46365327657648</v>
      </c>
      <c r="G18" s="668">
        <v>41.43754539389654</v>
      </c>
      <c r="H18" s="668">
        <v>41.68009359438458</v>
      </c>
      <c r="I18" s="668">
        <v>42.3386857962075</v>
      </c>
      <c r="J18" s="668">
        <v>41.242111324326515</v>
      </c>
      <c r="K18" s="668">
        <v>42.34602391239841</v>
      </c>
      <c r="L18" s="668">
        <v>41.899650884321886</v>
      </c>
      <c r="M18" s="668">
        <v>41.88029742683076</v>
      </c>
      <c r="N18" s="668">
        <v>40.90472337482045</v>
      </c>
      <c r="O18" s="668">
        <v>41.99660729789731</v>
      </c>
      <c r="P18" s="668">
        <v>40.594657377293245</v>
      </c>
      <c r="Q18" s="668">
        <v>41.114191704754546</v>
      </c>
      <c r="R18" s="668">
        <v>41.542840944382874</v>
      </c>
      <c r="S18" s="668">
        <v>42.37055794916647</v>
      </c>
      <c r="T18" s="668">
        <v>42.472498489004025</v>
      </c>
      <c r="U18" s="668">
        <v>43.26600182195368</v>
      </c>
      <c r="V18" s="668">
        <v>45.33409473203023</v>
      </c>
      <c r="W18" s="668">
        <v>48.43117921674048</v>
      </c>
      <c r="X18" s="668">
        <v>48.77965710029281</v>
      </c>
      <c r="Y18" s="668">
        <v>49.85328734878</v>
      </c>
      <c r="Z18" s="668">
        <v>51.0696911336898</v>
      </c>
      <c r="AA18" s="668">
        <v>51.6</v>
      </c>
      <c r="AB18" s="668">
        <v>52.311</v>
      </c>
      <c r="AC18" s="693">
        <f t="shared" si="2"/>
        <v>1.3779069767441854</v>
      </c>
      <c r="AD18" s="651" t="s">
        <v>67</v>
      </c>
    </row>
    <row r="19" spans="1:30" ht="12.75" customHeight="1">
      <c r="A19" s="650"/>
      <c r="B19" s="663" t="s">
        <v>148</v>
      </c>
      <c r="C19" s="682">
        <v>3.3</v>
      </c>
      <c r="D19" s="682">
        <v>7.1</v>
      </c>
      <c r="E19" s="674">
        <v>7</v>
      </c>
      <c r="F19" s="674" t="s">
        <v>99</v>
      </c>
      <c r="G19" s="674" t="s">
        <v>99</v>
      </c>
      <c r="H19" s="674" t="s">
        <v>99</v>
      </c>
      <c r="I19" s="674" t="s">
        <v>99</v>
      </c>
      <c r="J19" s="674">
        <v>4.051915</v>
      </c>
      <c r="K19" s="674">
        <v>4.266118</v>
      </c>
      <c r="L19" s="674">
        <v>4.459067</v>
      </c>
      <c r="M19" s="674">
        <v>3.963847</v>
      </c>
      <c r="N19" s="674">
        <v>3.354983</v>
      </c>
      <c r="O19" s="674">
        <v>3.331147</v>
      </c>
      <c r="P19" s="674">
        <v>3.477757</v>
      </c>
      <c r="Q19" s="674">
        <v>3.557693</v>
      </c>
      <c r="R19" s="674">
        <v>3.71685</v>
      </c>
      <c r="S19" s="674">
        <v>3.390253</v>
      </c>
      <c r="T19" s="674">
        <v>3.403469</v>
      </c>
      <c r="U19" s="674">
        <v>3.537056</v>
      </c>
      <c r="V19" s="674">
        <v>3.80798</v>
      </c>
      <c r="W19" s="674">
        <v>4.093489</v>
      </c>
      <c r="X19" s="674">
        <v>3.437996</v>
      </c>
      <c r="Y19" s="674">
        <v>3.248418</v>
      </c>
      <c r="Z19" s="674">
        <v>3.145021</v>
      </c>
      <c r="AA19" s="674">
        <v>3.249078</v>
      </c>
      <c r="AB19" s="674">
        <v>3.507</v>
      </c>
      <c r="AC19" s="684">
        <f t="shared" si="2"/>
        <v>7.938313576959374</v>
      </c>
      <c r="AD19" s="663" t="s">
        <v>148</v>
      </c>
    </row>
    <row r="20" spans="1:30" s="679" customFormat="1" ht="12.75" customHeight="1">
      <c r="A20" s="671"/>
      <c r="B20" s="694" t="s">
        <v>69</v>
      </c>
      <c r="C20" s="695">
        <v>32.004</v>
      </c>
      <c r="D20" s="695">
        <v>57.836</v>
      </c>
      <c r="E20" s="698">
        <v>83.955</v>
      </c>
      <c r="F20" s="698">
        <v>84.69</v>
      </c>
      <c r="G20" s="698">
        <v>84.7</v>
      </c>
      <c r="H20" s="698">
        <v>81.45</v>
      </c>
      <c r="I20" s="698">
        <v>79.28</v>
      </c>
      <c r="J20" s="698">
        <f>76.797+10.35</f>
        <v>87.14699999999999</v>
      </c>
      <c r="K20" s="698">
        <v>88.736</v>
      </c>
      <c r="L20" s="698">
        <v>90</v>
      </c>
      <c r="M20" s="698">
        <v>90.6</v>
      </c>
      <c r="N20" s="698">
        <v>92.153</v>
      </c>
      <c r="O20" s="698">
        <f>82.263+11.158</f>
        <v>93.421</v>
      </c>
      <c r="P20" s="698">
        <v>95.594</v>
      </c>
      <c r="Q20" s="698">
        <f>85.512+11.634</f>
        <v>97.146</v>
      </c>
      <c r="R20" s="698">
        <f>86.816+11.503</f>
        <v>98.319</v>
      </c>
      <c r="S20" s="698">
        <f>88.196+11.564</f>
        <v>99.75999999999999</v>
      </c>
      <c r="T20" s="698">
        <f>89.329+11.625</f>
        <v>100.954</v>
      </c>
      <c r="U20" s="698">
        <f>91.442+11.607</f>
        <v>103.04899999999999</v>
      </c>
      <c r="V20" s="698">
        <f>91.108+11.549</f>
        <v>102.65700000000001</v>
      </c>
      <c r="W20" s="698">
        <f>90.693+11.745</f>
        <v>102.438</v>
      </c>
      <c r="X20" s="698">
        <f>89.797+11.909</f>
        <v>101.706</v>
      </c>
      <c r="Y20" s="698">
        <f>90.134+12.085</f>
        <v>102.219</v>
      </c>
      <c r="Z20" s="698">
        <f>90.903+11.537</f>
        <v>102.44000000000001</v>
      </c>
      <c r="AA20" s="698">
        <f>90.383+10.859</f>
        <v>101.24199999999999</v>
      </c>
      <c r="AB20" s="698">
        <f>90.962+11.596</f>
        <v>102.558</v>
      </c>
      <c r="AC20" s="701">
        <f t="shared" si="2"/>
        <v>1.2998557910748758</v>
      </c>
      <c r="AD20" s="694" t="s">
        <v>69</v>
      </c>
    </row>
    <row r="21" spans="1:30" ht="12.75" customHeight="1">
      <c r="A21" s="650"/>
      <c r="B21" s="663" t="s">
        <v>71</v>
      </c>
      <c r="C21" s="682" t="s">
        <v>99</v>
      </c>
      <c r="D21" s="682" t="s">
        <v>99</v>
      </c>
      <c r="E21" s="674" t="s">
        <v>99</v>
      </c>
      <c r="F21" s="674" t="s">
        <v>99</v>
      </c>
      <c r="G21" s="674" t="s">
        <v>99</v>
      </c>
      <c r="H21" s="674" t="s">
        <v>99</v>
      </c>
      <c r="I21" s="674" t="s">
        <v>99</v>
      </c>
      <c r="J21" s="675">
        <v>1</v>
      </c>
      <c r="K21" s="675">
        <v>1.04</v>
      </c>
      <c r="L21" s="675">
        <v>1.05</v>
      </c>
      <c r="M21" s="675">
        <v>1.06</v>
      </c>
      <c r="N21" s="675">
        <v>1.08</v>
      </c>
      <c r="O21" s="675">
        <v>1.12</v>
      </c>
      <c r="P21" s="675">
        <v>1.16</v>
      </c>
      <c r="Q21" s="675">
        <v>1.2</v>
      </c>
      <c r="R21" s="675">
        <v>1.28</v>
      </c>
      <c r="S21" s="675">
        <v>1.24</v>
      </c>
      <c r="T21" s="675">
        <v>1.26</v>
      </c>
      <c r="U21" s="675">
        <v>1.28</v>
      </c>
      <c r="V21" s="675">
        <v>1.3</v>
      </c>
      <c r="W21" s="675">
        <v>1.33</v>
      </c>
      <c r="X21" s="675">
        <v>1.2832081221716343</v>
      </c>
      <c r="Y21" s="675">
        <v>1.29</v>
      </c>
      <c r="Z21" s="675">
        <v>1.325042573063031</v>
      </c>
      <c r="AA21" s="675">
        <v>1.3655790761715423</v>
      </c>
      <c r="AB21" s="675">
        <v>1.3463918995498854</v>
      </c>
      <c r="AC21" s="688">
        <f t="shared" si="2"/>
        <v>-1.405057894959043</v>
      </c>
      <c r="AD21" s="663" t="s">
        <v>71</v>
      </c>
    </row>
    <row r="22" spans="1:30" s="679" customFormat="1" ht="12.75" customHeight="1">
      <c r="A22" s="671"/>
      <c r="B22" s="694" t="s">
        <v>72</v>
      </c>
      <c r="C22" s="695">
        <v>3.28</v>
      </c>
      <c r="D22" s="695">
        <v>4.55</v>
      </c>
      <c r="E22" s="698">
        <v>5.862</v>
      </c>
      <c r="F22" s="699">
        <v>5.331</v>
      </c>
      <c r="G22" s="698">
        <v>2.583</v>
      </c>
      <c r="H22" s="698">
        <v>1.722</v>
      </c>
      <c r="I22" s="698">
        <v>1.795</v>
      </c>
      <c r="J22" s="698">
        <v>1.835</v>
      </c>
      <c r="K22" s="698">
        <v>1.606</v>
      </c>
      <c r="L22" s="698">
        <v>1.72</v>
      </c>
      <c r="M22" s="698">
        <v>1.903</v>
      </c>
      <c r="N22" s="698">
        <v>2.368</v>
      </c>
      <c r="O22" s="698">
        <v>2.348</v>
      </c>
      <c r="P22" s="698">
        <v>2.305</v>
      </c>
      <c r="Q22" s="698">
        <v>2.361</v>
      </c>
      <c r="R22" s="698">
        <v>2.55</v>
      </c>
      <c r="S22" s="698">
        <v>2.655</v>
      </c>
      <c r="T22" s="698">
        <v>2.891</v>
      </c>
      <c r="U22" s="698">
        <v>2.78</v>
      </c>
      <c r="V22" s="698">
        <v>2.644</v>
      </c>
      <c r="W22" s="698">
        <v>2.517</v>
      </c>
      <c r="X22" s="698">
        <v>2.143</v>
      </c>
      <c r="Y22" s="698">
        <v>2.311</v>
      </c>
      <c r="Z22" s="698">
        <v>2.412</v>
      </c>
      <c r="AA22" s="698">
        <v>2.358</v>
      </c>
      <c r="AB22" s="698">
        <v>2.319</v>
      </c>
      <c r="AC22" s="701">
        <f t="shared" si="2"/>
        <v>-1.653944020356235</v>
      </c>
      <c r="AD22" s="694" t="s">
        <v>72</v>
      </c>
    </row>
    <row r="23" spans="1:30" ht="12.75" customHeight="1">
      <c r="A23" s="650"/>
      <c r="B23" s="663" t="s">
        <v>73</v>
      </c>
      <c r="C23" s="682" t="s">
        <v>99</v>
      </c>
      <c r="D23" s="682" t="s">
        <v>99</v>
      </c>
      <c r="E23" s="674">
        <v>7.889</v>
      </c>
      <c r="F23" s="674">
        <v>7.798</v>
      </c>
      <c r="G23" s="674">
        <v>6.392</v>
      </c>
      <c r="H23" s="674">
        <v>4.522</v>
      </c>
      <c r="I23" s="674">
        <v>4.627</v>
      </c>
      <c r="J23" s="674">
        <f>3.334+0.835</f>
        <v>4.1690000000000005</v>
      </c>
      <c r="K23" s="674">
        <f>2.879+0.722</f>
        <v>3.601</v>
      </c>
      <c r="L23" s="674">
        <f>2.603+0.588</f>
        <v>3.1910000000000003</v>
      </c>
      <c r="M23" s="674">
        <f>2.39+0.574</f>
        <v>2.964</v>
      </c>
      <c r="N23" s="674">
        <f>2.096+0.569</f>
        <v>2.665</v>
      </c>
      <c r="O23" s="674">
        <f>2.266+0.489</f>
        <v>2.755</v>
      </c>
      <c r="P23" s="674">
        <v>2.833</v>
      </c>
      <c r="Q23" s="674">
        <f>2.508+0.505</f>
        <v>3.013</v>
      </c>
      <c r="R23" s="674">
        <f>2.583+0.404</f>
        <v>2.987</v>
      </c>
      <c r="S23" s="674">
        <f>3.14+0.409</f>
        <v>3.549</v>
      </c>
      <c r="T23" s="674">
        <f>3.267+0.424</f>
        <v>3.691</v>
      </c>
      <c r="U23" s="674">
        <f>3.283+0.413</f>
        <v>3.6959999999999997</v>
      </c>
      <c r="V23" s="674">
        <f>3.1703+0.4498</f>
        <v>3.6201</v>
      </c>
      <c r="W23" s="674">
        <f>2.9521+0.4691</f>
        <v>3.4212000000000002</v>
      </c>
      <c r="X23" s="674">
        <v>2.7746999999999997</v>
      </c>
      <c r="Y23" s="674">
        <f>2.3479+0.3457</f>
        <v>2.6936</v>
      </c>
      <c r="Z23" s="674">
        <v>2.748</v>
      </c>
      <c r="AA23" s="674">
        <f>2.387+0.348</f>
        <v>2.735</v>
      </c>
      <c r="AB23" s="674">
        <f>2.521+0.326</f>
        <v>2.847</v>
      </c>
      <c r="AC23" s="684">
        <f t="shared" si="2"/>
        <v>4.095063985374779</v>
      </c>
      <c r="AD23" s="663" t="s">
        <v>73</v>
      </c>
    </row>
    <row r="24" spans="1:30" s="679" customFormat="1" ht="12.75" customHeight="1">
      <c r="A24" s="756"/>
      <c r="B24" s="694" t="s">
        <v>76</v>
      </c>
      <c r="C24" s="704">
        <v>0.4</v>
      </c>
      <c r="D24" s="704">
        <v>0.44</v>
      </c>
      <c r="E24" s="697">
        <v>0.48</v>
      </c>
      <c r="F24" s="697">
        <v>0.49</v>
      </c>
      <c r="G24" s="697">
        <v>0.51</v>
      </c>
      <c r="H24" s="697">
        <v>0.52</v>
      </c>
      <c r="I24" s="697">
        <v>0.53</v>
      </c>
      <c r="J24" s="697">
        <v>0.54</v>
      </c>
      <c r="K24" s="697">
        <v>0.55</v>
      </c>
      <c r="L24" s="697">
        <v>0.56</v>
      </c>
      <c r="M24" s="697">
        <v>0.57</v>
      </c>
      <c r="N24" s="697">
        <v>0.58</v>
      </c>
      <c r="O24" s="697">
        <v>0.62</v>
      </c>
      <c r="P24" s="697">
        <v>0.66</v>
      </c>
      <c r="Q24" s="697">
        <v>0.72</v>
      </c>
      <c r="R24" s="697">
        <v>0.74</v>
      </c>
      <c r="S24" s="697">
        <v>0.77</v>
      </c>
      <c r="T24" s="697">
        <v>0.8</v>
      </c>
      <c r="U24" s="697">
        <v>0.82</v>
      </c>
      <c r="V24" s="697">
        <v>0.86</v>
      </c>
      <c r="W24" s="697">
        <v>0.91</v>
      </c>
      <c r="X24" s="697">
        <v>0.905872688234131</v>
      </c>
      <c r="Y24" s="697">
        <v>0.94</v>
      </c>
      <c r="Z24" s="697">
        <v>0.9876300463226344</v>
      </c>
      <c r="AA24" s="697">
        <v>1.0049122484837048</v>
      </c>
      <c r="AB24" s="697">
        <v>1.026458894764151</v>
      </c>
      <c r="AC24" s="705">
        <f t="shared" si="2"/>
        <v>2.1441321182976765</v>
      </c>
      <c r="AD24" s="694" t="s">
        <v>76</v>
      </c>
    </row>
    <row r="25" spans="1:30" ht="12.75" customHeight="1">
      <c r="A25" s="650"/>
      <c r="B25" s="663" t="s">
        <v>77</v>
      </c>
      <c r="C25" s="682" t="s">
        <v>99</v>
      </c>
      <c r="D25" s="682" t="s">
        <v>99</v>
      </c>
      <c r="E25" s="674">
        <v>19.261</v>
      </c>
      <c r="F25" s="674">
        <v>17.332</v>
      </c>
      <c r="G25" s="674">
        <v>15.971</v>
      </c>
      <c r="H25" s="674">
        <v>15.8</v>
      </c>
      <c r="I25" s="674">
        <v>16.392</v>
      </c>
      <c r="J25" s="674">
        <v>16.605</v>
      </c>
      <c r="K25" s="674">
        <v>16.564</v>
      </c>
      <c r="L25" s="674">
        <v>16.632</v>
      </c>
      <c r="M25" s="674">
        <v>17.172</v>
      </c>
      <c r="N25" s="674">
        <v>17.796</v>
      </c>
      <c r="O25" s="674">
        <v>18.732</v>
      </c>
      <c r="P25" s="674">
        <v>18.617</v>
      </c>
      <c r="Q25" s="674">
        <v>18.898</v>
      </c>
      <c r="R25" s="674">
        <v>18.707</v>
      </c>
      <c r="S25" s="674">
        <f>11.612+6.312+0.299</f>
        <v>18.223</v>
      </c>
      <c r="T25" s="674">
        <f>11.53+6.029+0.286</f>
        <v>17.845</v>
      </c>
      <c r="U25" s="674">
        <f>11.784+5.863+0.283</f>
        <v>17.930000000000003</v>
      </c>
      <c r="V25" s="674">
        <f>11.254+5.613+0.278</f>
        <v>17.145</v>
      </c>
      <c r="W25" s="674">
        <f>11.862+5.515+0.277</f>
        <v>17.654</v>
      </c>
      <c r="X25" s="674">
        <f>11.321+4.759+0.21</f>
        <v>16.29</v>
      </c>
      <c r="Y25" s="674">
        <f>11.776+4.484+0.201</f>
        <v>16.461</v>
      </c>
      <c r="Z25" s="674">
        <f>11.852+0.197+4.4067046</f>
        <v>16.4557046</v>
      </c>
      <c r="AA25" s="674">
        <f>12.553+4.3348054+0.186545</f>
        <v>17.0743504</v>
      </c>
      <c r="AB25" s="674">
        <f>12.606+4.358511+0.1853244</f>
        <v>17.1498354</v>
      </c>
      <c r="AC25" s="684">
        <f t="shared" si="2"/>
        <v>0.442095882019629</v>
      </c>
      <c r="AD25" s="663" t="s">
        <v>77</v>
      </c>
    </row>
    <row r="26" spans="1:30" s="679" customFormat="1" ht="12.75" customHeight="1">
      <c r="A26" s="671"/>
      <c r="B26" s="694" t="s">
        <v>78</v>
      </c>
      <c r="C26" s="695" t="s">
        <v>99</v>
      </c>
      <c r="D26" s="695" t="s">
        <v>99</v>
      </c>
      <c r="E26" s="698" t="s">
        <v>99</v>
      </c>
      <c r="F26" s="698" t="s">
        <v>99</v>
      </c>
      <c r="G26" s="698" t="s">
        <v>99</v>
      </c>
      <c r="H26" s="698" t="s">
        <v>99</v>
      </c>
      <c r="I26" s="698" t="s">
        <v>99</v>
      </c>
      <c r="J26" s="697">
        <v>0.41</v>
      </c>
      <c r="K26" s="697">
        <v>0.42</v>
      </c>
      <c r="L26" s="697">
        <v>0.44</v>
      </c>
      <c r="M26" s="697">
        <v>0.45</v>
      </c>
      <c r="N26" s="697">
        <v>0.455</v>
      </c>
      <c r="O26" s="697">
        <v>0.46</v>
      </c>
      <c r="P26" s="697">
        <v>0.47</v>
      </c>
      <c r="Q26" s="697">
        <v>0.48</v>
      </c>
      <c r="R26" s="697">
        <v>0.49</v>
      </c>
      <c r="S26" s="697">
        <v>0.5</v>
      </c>
      <c r="T26" s="697">
        <v>0.49</v>
      </c>
      <c r="U26" s="697">
        <v>0.5</v>
      </c>
      <c r="V26" s="697">
        <v>0.505</v>
      </c>
      <c r="W26" s="697">
        <v>0.51</v>
      </c>
      <c r="X26" s="697">
        <v>0.4848885722388764</v>
      </c>
      <c r="Y26" s="697">
        <v>0.5</v>
      </c>
      <c r="Z26" s="697">
        <v>0.47567815316050804</v>
      </c>
      <c r="AA26" s="697">
        <v>0.4764518954048124</v>
      </c>
      <c r="AB26" s="697">
        <v>0.46847402439797603</v>
      </c>
      <c r="AC26" s="705">
        <f t="shared" si="2"/>
        <v>-1.6744336802476312</v>
      </c>
      <c r="AD26" s="694" t="s">
        <v>78</v>
      </c>
    </row>
    <row r="27" spans="1:30" ht="12.75" customHeight="1">
      <c r="A27" s="650"/>
      <c r="B27" s="663" t="s">
        <v>16</v>
      </c>
      <c r="C27" s="682">
        <v>9.5</v>
      </c>
      <c r="D27" s="706">
        <v>11.2</v>
      </c>
      <c r="E27" s="674">
        <v>13</v>
      </c>
      <c r="F27" s="702">
        <v>12.3</v>
      </c>
      <c r="G27" s="702">
        <v>13.2</v>
      </c>
      <c r="H27" s="702">
        <v>13.05</v>
      </c>
      <c r="I27" s="702">
        <v>12.15</v>
      </c>
      <c r="J27" s="702">
        <v>12</v>
      </c>
      <c r="K27" s="702">
        <v>11.85</v>
      </c>
      <c r="L27" s="702">
        <v>12</v>
      </c>
      <c r="M27" s="702">
        <v>11.7</v>
      </c>
      <c r="N27" s="702">
        <v>11.25</v>
      </c>
      <c r="O27" s="702">
        <v>11.25</v>
      </c>
      <c r="P27" s="675">
        <v>11.4</v>
      </c>
      <c r="Q27" s="702">
        <v>10.8</v>
      </c>
      <c r="R27" s="702">
        <v>11.25</v>
      </c>
      <c r="S27" s="702">
        <v>11.55</v>
      </c>
      <c r="T27" s="675">
        <v>11.75</v>
      </c>
      <c r="U27" s="675">
        <v>12</v>
      </c>
      <c r="V27" s="675">
        <v>12.25</v>
      </c>
      <c r="W27" s="675">
        <v>12.5</v>
      </c>
      <c r="X27" s="675">
        <v>12.0849760885192</v>
      </c>
      <c r="Y27" s="675">
        <v>12.13</v>
      </c>
      <c r="Z27" s="675">
        <v>12.555614035087721</v>
      </c>
      <c r="AA27" s="675">
        <v>11.278771929824563</v>
      </c>
      <c r="AB27" s="675">
        <v>11.704385964912282</v>
      </c>
      <c r="AC27" s="688">
        <f t="shared" si="2"/>
        <v>3.773584905660371</v>
      </c>
      <c r="AD27" s="663" t="s">
        <v>16</v>
      </c>
    </row>
    <row r="28" spans="1:30" s="679" customFormat="1" ht="12.75" customHeight="1">
      <c r="A28" s="671"/>
      <c r="B28" s="694" t="s">
        <v>81</v>
      </c>
      <c r="C28" s="695">
        <v>9.1</v>
      </c>
      <c r="D28" s="695">
        <v>9.8</v>
      </c>
      <c r="E28" s="698">
        <v>7.969</v>
      </c>
      <c r="F28" s="698">
        <v>7.927</v>
      </c>
      <c r="G28" s="698">
        <v>8.089</v>
      </c>
      <c r="H28" s="698">
        <v>8.331</v>
      </c>
      <c r="I28" s="698">
        <v>8.479</v>
      </c>
      <c r="J28" s="698">
        <v>8.7</v>
      </c>
      <c r="K28" s="698">
        <v>8.699</v>
      </c>
      <c r="L28" s="698">
        <v>8.772</v>
      </c>
      <c r="M28" s="698">
        <v>8.936</v>
      </c>
      <c r="N28" s="698">
        <v>8.943</v>
      </c>
      <c r="O28" s="698">
        <v>9.223</v>
      </c>
      <c r="P28" s="698">
        <v>9.174</v>
      </c>
      <c r="Q28" s="698">
        <v>9.282</v>
      </c>
      <c r="R28" s="698">
        <v>9.453</v>
      </c>
      <c r="S28" s="698">
        <v>9.576</v>
      </c>
      <c r="T28" s="698">
        <v>9.319</v>
      </c>
      <c r="U28" s="698">
        <v>9.219</v>
      </c>
      <c r="V28" s="698">
        <v>9.79</v>
      </c>
      <c r="W28" s="698">
        <v>9.551</v>
      </c>
      <c r="X28" s="698">
        <v>8.824</v>
      </c>
      <c r="Y28" s="698">
        <v>9.587</v>
      </c>
      <c r="Z28" s="698">
        <v>9.533</v>
      </c>
      <c r="AA28" s="698">
        <v>9.495</v>
      </c>
      <c r="AB28" s="698">
        <v>9.517</v>
      </c>
      <c r="AC28" s="701">
        <f t="shared" si="2"/>
        <v>0.2317008952080073</v>
      </c>
      <c r="AD28" s="694" t="s">
        <v>81</v>
      </c>
    </row>
    <row r="29" spans="1:30" ht="12.75" customHeight="1">
      <c r="A29" s="650"/>
      <c r="B29" s="663" t="s">
        <v>80</v>
      </c>
      <c r="C29" s="682">
        <v>29.14</v>
      </c>
      <c r="D29" s="682">
        <v>49.223</v>
      </c>
      <c r="E29" s="674">
        <v>46.3</v>
      </c>
      <c r="F29" s="674">
        <v>41.72</v>
      </c>
      <c r="G29" s="674">
        <v>39.008</v>
      </c>
      <c r="H29" s="674">
        <v>37.811</v>
      </c>
      <c r="I29" s="674">
        <v>34.262</v>
      </c>
      <c r="J29" s="674">
        <v>34.024</v>
      </c>
      <c r="K29" s="674">
        <v>33.984</v>
      </c>
      <c r="L29" s="674">
        <v>33.128</v>
      </c>
      <c r="M29" s="674">
        <v>34.035</v>
      </c>
      <c r="N29" s="674">
        <v>33.25</v>
      </c>
      <c r="O29" s="707">
        <v>59.2</v>
      </c>
      <c r="P29" s="674">
        <v>55.4</v>
      </c>
      <c r="Q29" s="674">
        <v>52</v>
      </c>
      <c r="R29" s="674">
        <v>51.6</v>
      </c>
      <c r="S29" s="674">
        <v>51.1</v>
      </c>
      <c r="T29" s="674">
        <v>49.2</v>
      </c>
      <c r="U29" s="674">
        <v>48.7</v>
      </c>
      <c r="V29" s="674">
        <v>47.7</v>
      </c>
      <c r="W29" s="674">
        <v>47.7</v>
      </c>
      <c r="X29" s="674">
        <v>43.9</v>
      </c>
      <c r="Y29" s="674">
        <v>41.7</v>
      </c>
      <c r="Z29" s="674">
        <v>40.1</v>
      </c>
      <c r="AA29" s="674">
        <v>39.419</v>
      </c>
      <c r="AB29" s="674">
        <v>37.8</v>
      </c>
      <c r="AC29" s="684">
        <f t="shared" si="2"/>
        <v>-4.1071564473984665</v>
      </c>
      <c r="AD29" s="663" t="s">
        <v>80</v>
      </c>
    </row>
    <row r="30" spans="1:30" s="679" customFormat="1" ht="12.75" customHeight="1">
      <c r="A30" s="671"/>
      <c r="B30" s="694" t="s">
        <v>92</v>
      </c>
      <c r="C30" s="695">
        <v>4.358</v>
      </c>
      <c r="D30" s="695">
        <v>7.6</v>
      </c>
      <c r="E30" s="698">
        <v>10.3</v>
      </c>
      <c r="F30" s="698">
        <v>10.7</v>
      </c>
      <c r="G30" s="698">
        <v>11.4</v>
      </c>
      <c r="H30" s="698">
        <v>11.8</v>
      </c>
      <c r="I30" s="698">
        <v>12.55</v>
      </c>
      <c r="J30" s="698">
        <v>11.3</v>
      </c>
      <c r="K30" s="698">
        <v>11.1</v>
      </c>
      <c r="L30" s="698">
        <v>11.6</v>
      </c>
      <c r="M30" s="698">
        <v>11.55</v>
      </c>
      <c r="N30" s="698">
        <v>11.48</v>
      </c>
      <c r="O30" s="698">
        <v>11.821</v>
      </c>
      <c r="P30" s="698">
        <v>11.159</v>
      </c>
      <c r="Q30" s="698">
        <v>9.936</v>
      </c>
      <c r="R30" s="698">
        <v>10.537</v>
      </c>
      <c r="S30" s="698">
        <v>10.809</v>
      </c>
      <c r="T30" s="757">
        <v>6.376263166645883</v>
      </c>
      <c r="U30" s="697">
        <v>6.064343265791044</v>
      </c>
      <c r="V30" s="697">
        <v>6.248737903312966</v>
      </c>
      <c r="W30" s="697">
        <v>6.282629752577119</v>
      </c>
      <c r="X30" s="697">
        <v>6.000359984210191</v>
      </c>
      <c r="Y30" s="697">
        <v>6.077555342622833</v>
      </c>
      <c r="Z30" s="698">
        <v>6.231</v>
      </c>
      <c r="AA30" s="698">
        <v>6.048</v>
      </c>
      <c r="AB30" s="698">
        <v>6.315</v>
      </c>
      <c r="AC30" s="705">
        <f t="shared" si="2"/>
        <v>4.414682539682531</v>
      </c>
      <c r="AD30" s="694" t="s">
        <v>92</v>
      </c>
    </row>
    <row r="31" spans="1:30" ht="12.75" customHeight="1">
      <c r="A31" s="650"/>
      <c r="B31" s="663" t="s">
        <v>102</v>
      </c>
      <c r="C31" s="682">
        <v>7.858</v>
      </c>
      <c r="D31" s="682">
        <v>24.016</v>
      </c>
      <c r="E31" s="674">
        <v>24.007</v>
      </c>
      <c r="F31" s="674">
        <v>20.835</v>
      </c>
      <c r="G31" s="674">
        <v>25.649</v>
      </c>
      <c r="H31" s="683">
        <v>20.512</v>
      </c>
      <c r="I31" s="674">
        <v>14.058</v>
      </c>
      <c r="J31" s="674">
        <v>12.343</v>
      </c>
      <c r="K31" s="674">
        <v>12.842</v>
      </c>
      <c r="L31" s="674">
        <v>13.531</v>
      </c>
      <c r="M31" s="675">
        <v>13</v>
      </c>
      <c r="N31" s="675">
        <v>12.5</v>
      </c>
      <c r="O31" s="675">
        <v>12</v>
      </c>
      <c r="P31" s="675">
        <v>11.5</v>
      </c>
      <c r="Q31" s="675">
        <v>11.5</v>
      </c>
      <c r="R31" s="675">
        <v>11.5</v>
      </c>
      <c r="S31" s="675">
        <v>11.5</v>
      </c>
      <c r="T31" s="674">
        <v>11.812</v>
      </c>
      <c r="U31" s="674">
        <v>11.735</v>
      </c>
      <c r="V31" s="674">
        <v>12.156</v>
      </c>
      <c r="W31" s="683">
        <v>13.88</v>
      </c>
      <c r="X31" s="674">
        <v>12.805</v>
      </c>
      <c r="Y31" s="674">
        <v>11.955</v>
      </c>
      <c r="Z31" s="674">
        <v>11.773</v>
      </c>
      <c r="AA31" s="674">
        <v>12.584</v>
      </c>
      <c r="AB31" s="674">
        <v>12.923</v>
      </c>
      <c r="AC31" s="688">
        <f t="shared" si="2"/>
        <v>2.6938970120788213</v>
      </c>
      <c r="AD31" s="663" t="s">
        <v>102</v>
      </c>
    </row>
    <row r="32" spans="1:30" s="679" customFormat="1" ht="12.75" customHeight="1">
      <c r="A32" s="671"/>
      <c r="B32" s="694" t="s">
        <v>83</v>
      </c>
      <c r="C32" s="695">
        <v>2.642</v>
      </c>
      <c r="D32" s="695">
        <v>4.925</v>
      </c>
      <c r="E32" s="698">
        <v>6.508</v>
      </c>
      <c r="F32" s="698">
        <v>5.554</v>
      </c>
      <c r="G32" s="698">
        <v>4.17</v>
      </c>
      <c r="H32" s="698">
        <v>3.894</v>
      </c>
      <c r="I32" s="698">
        <v>4.053</v>
      </c>
      <c r="J32" s="698">
        <v>4.113</v>
      </c>
      <c r="K32" s="698">
        <v>4.301</v>
      </c>
      <c r="L32" s="698">
        <v>4.379</v>
      </c>
      <c r="M32" s="698">
        <v>3.876</v>
      </c>
      <c r="N32" s="698">
        <v>4.138</v>
      </c>
      <c r="O32" s="698">
        <v>3.502</v>
      </c>
      <c r="P32" s="698">
        <v>3.393</v>
      </c>
      <c r="Q32" s="698">
        <v>3.339</v>
      </c>
      <c r="R32" s="698">
        <v>3.446</v>
      </c>
      <c r="S32" s="698">
        <v>3.218</v>
      </c>
      <c r="T32" s="698">
        <v>3.062</v>
      </c>
      <c r="U32" s="698">
        <v>3.133</v>
      </c>
      <c r="V32" s="698">
        <v>3.235</v>
      </c>
      <c r="W32" s="698">
        <v>3.146</v>
      </c>
      <c r="X32" s="698">
        <v>3.196</v>
      </c>
      <c r="Y32" s="698">
        <v>3.183</v>
      </c>
      <c r="Z32" s="697">
        <v>3.244143134443557</v>
      </c>
      <c r="AA32" s="697">
        <v>3.2370370249757103</v>
      </c>
      <c r="AB32" s="697">
        <v>3.3223001768851614</v>
      </c>
      <c r="AC32" s="701">
        <f t="shared" si="2"/>
        <v>2.633987540197836</v>
      </c>
      <c r="AD32" s="694" t="s">
        <v>83</v>
      </c>
    </row>
    <row r="33" spans="1:30" ht="12.75" customHeight="1">
      <c r="A33" s="650"/>
      <c r="B33" s="663" t="s">
        <v>85</v>
      </c>
      <c r="C33" s="672"/>
      <c r="D33" s="672"/>
      <c r="E33" s="673"/>
      <c r="F33" s="674"/>
      <c r="G33" s="674"/>
      <c r="H33" s="674"/>
      <c r="I33" s="674"/>
      <c r="J33" s="674">
        <f>11.191+3.25</f>
        <v>14.441</v>
      </c>
      <c r="K33" s="674">
        <f>11.1+3.38</f>
        <v>14.48</v>
      </c>
      <c r="L33" s="674">
        <f>9.969+3.5</f>
        <v>13.469</v>
      </c>
      <c r="M33" s="674">
        <f>8.84+3.62</f>
        <v>12.46</v>
      </c>
      <c r="N33" s="674">
        <f>7.833+3.52</f>
        <v>11.353</v>
      </c>
      <c r="O33" s="675">
        <v>9.3174635</v>
      </c>
      <c r="P33" s="675">
        <v>9.24563722</v>
      </c>
      <c r="Q33" s="675">
        <v>9.24878837</v>
      </c>
      <c r="R33" s="675">
        <v>8.7739944</v>
      </c>
      <c r="S33" s="675">
        <v>8.84976323</v>
      </c>
      <c r="T33" s="675">
        <v>8.53778246</v>
      </c>
      <c r="U33" s="675">
        <v>8.683574</v>
      </c>
      <c r="V33" s="675">
        <v>8.652062</v>
      </c>
      <c r="W33" s="675">
        <v>7.4487156</v>
      </c>
      <c r="X33" s="675">
        <v>5.3743368</v>
      </c>
      <c r="Y33" s="675">
        <v>5.2707795</v>
      </c>
      <c r="Z33" s="675">
        <v>5.4770729099999995</v>
      </c>
      <c r="AA33" s="675">
        <v>5.432091430000001</v>
      </c>
      <c r="AB33" s="675">
        <f>4.388+((219.763+60.719)*3.1)/1000</f>
        <v>5.2574942</v>
      </c>
      <c r="AC33" s="688">
        <f t="shared" si="2"/>
        <v>-3.214180619931156</v>
      </c>
      <c r="AD33" s="663" t="s">
        <v>85</v>
      </c>
    </row>
    <row r="34" spans="1:30" ht="12.75" customHeight="1">
      <c r="A34" s="650"/>
      <c r="B34" s="694" t="s">
        <v>87</v>
      </c>
      <c r="C34" s="695">
        <v>7.5</v>
      </c>
      <c r="D34" s="695">
        <v>8.5</v>
      </c>
      <c r="E34" s="698">
        <v>8.5</v>
      </c>
      <c r="F34" s="698">
        <v>8.1</v>
      </c>
      <c r="G34" s="698">
        <v>8</v>
      </c>
      <c r="H34" s="698">
        <v>8</v>
      </c>
      <c r="I34" s="698">
        <v>8</v>
      </c>
      <c r="J34" s="698">
        <v>8</v>
      </c>
      <c r="K34" s="698">
        <v>8</v>
      </c>
      <c r="L34" s="698">
        <v>8</v>
      </c>
      <c r="M34" s="698">
        <v>7.8</v>
      </c>
      <c r="N34" s="698">
        <v>7.6</v>
      </c>
      <c r="O34" s="698">
        <v>7.7</v>
      </c>
      <c r="P34" s="698">
        <v>7.7</v>
      </c>
      <c r="Q34" s="698">
        <v>7.7</v>
      </c>
      <c r="R34" s="698">
        <v>7.67</v>
      </c>
      <c r="S34" s="698">
        <v>7.605</v>
      </c>
      <c r="T34" s="698">
        <v>7.54</v>
      </c>
      <c r="U34" s="698">
        <v>7.54</v>
      </c>
      <c r="V34" s="698">
        <v>7.54</v>
      </c>
      <c r="W34" s="698">
        <v>7.54</v>
      </c>
      <c r="X34" s="698">
        <v>7.54</v>
      </c>
      <c r="Y34" s="698">
        <v>7.54</v>
      </c>
      <c r="Z34" s="698">
        <v>7.54</v>
      </c>
      <c r="AA34" s="698">
        <v>7.54</v>
      </c>
      <c r="AB34" s="698">
        <v>7.54</v>
      </c>
      <c r="AC34" s="701">
        <f t="shared" si="2"/>
        <v>0</v>
      </c>
      <c r="AD34" s="694" t="s">
        <v>87</v>
      </c>
    </row>
    <row r="35" spans="1:30" ht="12.75" customHeight="1">
      <c r="A35" s="650"/>
      <c r="B35" s="663" t="s">
        <v>88</v>
      </c>
      <c r="C35" s="682">
        <v>5.5</v>
      </c>
      <c r="D35" s="706">
        <v>7.3</v>
      </c>
      <c r="E35" s="674">
        <v>9.663565396357743</v>
      </c>
      <c r="F35" s="674">
        <v>9.677871179540276</v>
      </c>
      <c r="G35" s="674">
        <v>9.699579341247878</v>
      </c>
      <c r="H35" s="674">
        <v>9.421206473765904</v>
      </c>
      <c r="I35" s="674">
        <v>9.531356730066832</v>
      </c>
      <c r="J35" s="674">
        <v>9.70318298834586</v>
      </c>
      <c r="K35" s="674">
        <v>9.815881642468796</v>
      </c>
      <c r="L35" s="674">
        <v>9.822218249358277</v>
      </c>
      <c r="M35" s="674">
        <v>9.777521360228848</v>
      </c>
      <c r="N35" s="674">
        <v>9.755750625837438</v>
      </c>
      <c r="O35" s="674">
        <v>9.451516631541596</v>
      </c>
      <c r="P35" s="674">
        <v>9.192688278826282</v>
      </c>
      <c r="Q35" s="674">
        <v>9.269930842675889</v>
      </c>
      <c r="R35" s="674">
        <v>9.12657476361352</v>
      </c>
      <c r="S35" s="674">
        <v>8.895604098507814</v>
      </c>
      <c r="T35" s="674">
        <v>8.76</v>
      </c>
      <c r="U35" s="674">
        <v>8.72</v>
      </c>
      <c r="V35" s="674">
        <v>8.76</v>
      </c>
      <c r="W35" s="674">
        <v>8.52</v>
      </c>
      <c r="X35" s="674">
        <v>8.52</v>
      </c>
      <c r="Y35" s="674">
        <v>8.56</v>
      </c>
      <c r="Z35" s="674">
        <v>8.73</v>
      </c>
      <c r="AA35" s="674">
        <v>8.651341805131489</v>
      </c>
      <c r="AB35" s="674">
        <v>8.66559293460815</v>
      </c>
      <c r="AC35" s="684">
        <f t="shared" si="2"/>
        <v>0.164727389087858</v>
      </c>
      <c r="AD35" s="663" t="s">
        <v>88</v>
      </c>
    </row>
    <row r="36" spans="1:30" ht="12.75" customHeight="1">
      <c r="A36" s="650"/>
      <c r="B36" s="726" t="s">
        <v>13</v>
      </c>
      <c r="C36" s="758">
        <f>60.2+1.5</f>
        <v>61.7</v>
      </c>
      <c r="D36" s="758">
        <f>52.2+1.5</f>
        <v>53.7</v>
      </c>
      <c r="E36" s="759">
        <v>47.1</v>
      </c>
      <c r="F36" s="759">
        <v>45.2</v>
      </c>
      <c r="G36" s="759">
        <v>44</v>
      </c>
      <c r="H36" s="759">
        <v>45.3</v>
      </c>
      <c r="I36" s="759">
        <v>45.2</v>
      </c>
      <c r="J36" s="759">
        <v>44.8</v>
      </c>
      <c r="K36" s="759">
        <v>44.7</v>
      </c>
      <c r="L36" s="759">
        <v>45.5</v>
      </c>
      <c r="M36" s="759">
        <v>46.4</v>
      </c>
      <c r="N36" s="759">
        <v>47.7</v>
      </c>
      <c r="O36" s="759">
        <v>48</v>
      </c>
      <c r="P36" s="759">
        <v>48.04</v>
      </c>
      <c r="Q36" s="759">
        <v>42.1</v>
      </c>
      <c r="R36" s="760">
        <v>46.1</v>
      </c>
      <c r="S36" s="759">
        <v>42.5</v>
      </c>
      <c r="T36" s="759">
        <v>44</v>
      </c>
      <c r="U36" s="759">
        <v>42</v>
      </c>
      <c r="V36" s="759">
        <v>42.2</v>
      </c>
      <c r="W36" s="759">
        <v>44.7</v>
      </c>
      <c r="X36" s="759">
        <v>45.7</v>
      </c>
      <c r="Y36" s="759">
        <v>46.2</v>
      </c>
      <c r="Z36" s="759">
        <v>44.1</v>
      </c>
      <c r="AA36" s="759">
        <v>43.7</v>
      </c>
      <c r="AB36" s="759">
        <v>41.9</v>
      </c>
      <c r="AC36" s="761">
        <f t="shared" si="2"/>
        <v>-4.118993135011451</v>
      </c>
      <c r="AD36" s="726" t="s">
        <v>13</v>
      </c>
    </row>
    <row r="37" spans="1:30" ht="12.75" customHeight="1">
      <c r="A37" s="650"/>
      <c r="B37" s="663" t="s">
        <v>310</v>
      </c>
      <c r="C37" s="682">
        <v>0.776</v>
      </c>
      <c r="D37" s="682">
        <v>1.421</v>
      </c>
      <c r="E37" s="674">
        <v>2.174</v>
      </c>
      <c r="F37" s="674">
        <v>1.28</v>
      </c>
      <c r="G37" s="674">
        <v>0.515</v>
      </c>
      <c r="H37" s="674">
        <v>0.307</v>
      </c>
      <c r="I37" s="674">
        <v>0.197</v>
      </c>
      <c r="J37" s="674">
        <v>0.196</v>
      </c>
      <c r="K37" s="674">
        <v>0.223</v>
      </c>
      <c r="L37" s="674">
        <v>0.19</v>
      </c>
      <c r="M37" s="674">
        <v>0.19</v>
      </c>
      <c r="N37" s="674">
        <v>0.221</v>
      </c>
      <c r="O37" s="674">
        <v>0.184</v>
      </c>
      <c r="P37" s="674">
        <v>0.197</v>
      </c>
      <c r="Q37" s="674">
        <v>0.159</v>
      </c>
      <c r="R37" s="674">
        <v>0.176</v>
      </c>
      <c r="S37" s="674">
        <v>0.141</v>
      </c>
      <c r="T37" s="674">
        <v>0.28</v>
      </c>
      <c r="U37" s="674">
        <v>0.48</v>
      </c>
      <c r="V37" s="674">
        <v>0.663</v>
      </c>
      <c r="W37" s="674">
        <v>0.79</v>
      </c>
      <c r="X37" s="674">
        <v>1.302</v>
      </c>
      <c r="Y37" s="674">
        <v>2.37</v>
      </c>
      <c r="Z37" s="674">
        <v>1.254</v>
      </c>
      <c r="AA37" s="674">
        <v>0.983</v>
      </c>
      <c r="AB37" s="674">
        <v>1.063</v>
      </c>
      <c r="AC37" s="684">
        <f t="shared" si="2"/>
        <v>8.138351983723297</v>
      </c>
      <c r="AD37" s="663" t="s">
        <v>310</v>
      </c>
    </row>
    <row r="38" spans="1:30" ht="12.75" customHeight="1">
      <c r="A38" s="650"/>
      <c r="B38" s="694" t="s">
        <v>244</v>
      </c>
      <c r="C38" s="704"/>
      <c r="D38" s="704"/>
      <c r="E38" s="697"/>
      <c r="F38" s="697"/>
      <c r="G38" s="697"/>
      <c r="H38" s="697"/>
      <c r="I38" s="697"/>
      <c r="J38" s="697"/>
      <c r="K38" s="697"/>
      <c r="L38" s="697"/>
      <c r="M38" s="697"/>
      <c r="N38" s="697"/>
      <c r="O38" s="697"/>
      <c r="P38" s="697"/>
      <c r="Q38" s="697"/>
      <c r="R38" s="697"/>
      <c r="S38" s="697"/>
      <c r="T38" s="697"/>
      <c r="U38" s="697"/>
      <c r="V38" s="697"/>
      <c r="W38" s="698">
        <v>0.124</v>
      </c>
      <c r="X38" s="698">
        <v>0.102</v>
      </c>
      <c r="Y38" s="698">
        <v>0.081</v>
      </c>
      <c r="Z38" s="698">
        <v>0.08</v>
      </c>
      <c r="AA38" s="698">
        <v>0.112</v>
      </c>
      <c r="AB38" s="698">
        <v>0.108802</v>
      </c>
      <c r="AC38" s="701">
        <f t="shared" si="2"/>
        <v>-2.8553571428571445</v>
      </c>
      <c r="AD38" s="694" t="s">
        <v>244</v>
      </c>
    </row>
    <row r="39" spans="1:30" s="679" customFormat="1" ht="12.75" customHeight="1">
      <c r="A39" s="671"/>
      <c r="B39" s="663" t="s">
        <v>149</v>
      </c>
      <c r="C39" s="672"/>
      <c r="D39" s="672"/>
      <c r="E39" s="673"/>
      <c r="F39" s="674"/>
      <c r="G39" s="674"/>
      <c r="H39" s="674"/>
      <c r="I39" s="674"/>
      <c r="J39" s="675">
        <v>0.9</v>
      </c>
      <c r="K39" s="675">
        <v>0.9</v>
      </c>
      <c r="L39" s="675">
        <v>0.9</v>
      </c>
      <c r="M39" s="675">
        <v>0.9</v>
      </c>
      <c r="N39" s="675">
        <v>0.9</v>
      </c>
      <c r="O39" s="675">
        <v>0.9</v>
      </c>
      <c r="P39" s="674">
        <v>0.831</v>
      </c>
      <c r="Q39" s="675">
        <v>1</v>
      </c>
      <c r="R39" s="674">
        <v>1.344</v>
      </c>
      <c r="S39" s="674">
        <v>1.11</v>
      </c>
      <c r="T39" s="674">
        <v>1.086</v>
      </c>
      <c r="U39" s="674">
        <v>1.016</v>
      </c>
      <c r="V39" s="674">
        <v>1.027</v>
      </c>
      <c r="W39" s="674">
        <v>1.239</v>
      </c>
      <c r="X39" s="674">
        <v>1.213</v>
      </c>
      <c r="Y39" s="674">
        <f>1.441</f>
        <v>1.441</v>
      </c>
      <c r="Z39" s="674">
        <v>1.64</v>
      </c>
      <c r="AA39" s="674">
        <v>1.403</v>
      </c>
      <c r="AB39" s="674">
        <v>1.395</v>
      </c>
      <c r="AC39" s="684">
        <f t="shared" si="2"/>
        <v>-0.5702066999287183</v>
      </c>
      <c r="AD39" s="663" t="s">
        <v>149</v>
      </c>
    </row>
    <row r="40" spans="1:30" s="679" customFormat="1" ht="12.75" customHeight="1">
      <c r="A40" s="671"/>
      <c r="B40" s="694" t="s">
        <v>245</v>
      </c>
      <c r="C40" s="762"/>
      <c r="D40" s="762"/>
      <c r="E40" s="763"/>
      <c r="F40" s="698"/>
      <c r="G40" s="698"/>
      <c r="H40" s="698"/>
      <c r="I40" s="698"/>
      <c r="J40" s="697"/>
      <c r="K40" s="697"/>
      <c r="L40" s="697"/>
      <c r="M40" s="697"/>
      <c r="N40" s="697"/>
      <c r="O40" s="697"/>
      <c r="P40" s="698"/>
      <c r="Q40" s="697"/>
      <c r="R40" s="698"/>
      <c r="S40" s="698"/>
      <c r="T40" s="698"/>
      <c r="U40" s="698"/>
      <c r="V40" s="698"/>
      <c r="W40" s="697"/>
      <c r="X40" s="697">
        <v>6.9497292599420595</v>
      </c>
      <c r="Y40" s="697">
        <v>7.1218990578734855</v>
      </c>
      <c r="Z40" s="697">
        <v>7.164360301768991</v>
      </c>
      <c r="AA40" s="697">
        <v>7.123519220779221</v>
      </c>
      <c r="AB40" s="697">
        <v>7.055992874760208</v>
      </c>
      <c r="AC40" s="701">
        <f t="shared" si="2"/>
        <v>-0.9479351978448989</v>
      </c>
      <c r="AD40" s="694" t="s">
        <v>245</v>
      </c>
    </row>
    <row r="41" spans="1:30" ht="12.75" customHeight="1">
      <c r="A41" s="650"/>
      <c r="B41" s="717" t="s">
        <v>150</v>
      </c>
      <c r="C41" s="682" t="s">
        <v>99</v>
      </c>
      <c r="D41" s="682" t="s">
        <v>99</v>
      </c>
      <c r="E41" s="674" t="s">
        <v>99</v>
      </c>
      <c r="F41" s="674" t="s">
        <v>99</v>
      </c>
      <c r="G41" s="674" t="s">
        <v>99</v>
      </c>
      <c r="H41" s="674">
        <v>86.914</v>
      </c>
      <c r="I41" s="674">
        <v>79.17</v>
      </c>
      <c r="J41" s="674">
        <v>85.674</v>
      </c>
      <c r="K41" s="674">
        <v>91.658</v>
      </c>
      <c r="L41" s="674">
        <v>95.36</v>
      </c>
      <c r="M41" s="674">
        <v>94.914</v>
      </c>
      <c r="N41" s="674">
        <v>91.263</v>
      </c>
      <c r="O41" s="674">
        <v>87.391</v>
      </c>
      <c r="P41" s="674">
        <v>76.8</v>
      </c>
      <c r="Q41" s="675">
        <v>80</v>
      </c>
      <c r="R41" s="675">
        <v>81</v>
      </c>
      <c r="S41" s="675">
        <v>85</v>
      </c>
      <c r="T41" s="675">
        <v>95</v>
      </c>
      <c r="U41" s="675">
        <v>100</v>
      </c>
      <c r="V41" s="675">
        <v>105</v>
      </c>
      <c r="W41" s="675">
        <v>110</v>
      </c>
      <c r="X41" s="721">
        <v>88.426</v>
      </c>
      <c r="Y41" s="674">
        <v>89.056</v>
      </c>
      <c r="Z41" s="674">
        <v>95.334</v>
      </c>
      <c r="AA41" s="674">
        <v>96.559</v>
      </c>
      <c r="AB41" s="674">
        <v>94.846</v>
      </c>
      <c r="AC41" s="764">
        <f t="shared" si="2"/>
        <v>-1.7740448844747618</v>
      </c>
      <c r="AD41" s="717" t="s">
        <v>150</v>
      </c>
    </row>
    <row r="42" spans="1:30" s="679" customFormat="1" ht="12.75" customHeight="1">
      <c r="A42" s="671"/>
      <c r="B42" s="694" t="s">
        <v>151</v>
      </c>
      <c r="C42" s="723" t="s">
        <v>99</v>
      </c>
      <c r="D42" s="723" t="s">
        <v>99</v>
      </c>
      <c r="E42" s="724" t="s">
        <v>99</v>
      </c>
      <c r="F42" s="724" t="s">
        <v>99</v>
      </c>
      <c r="G42" s="724" t="s">
        <v>99</v>
      </c>
      <c r="H42" s="724" t="s">
        <v>99</v>
      </c>
      <c r="I42" s="724" t="s">
        <v>99</v>
      </c>
      <c r="J42" s="724">
        <v>0.389</v>
      </c>
      <c r="K42" s="724">
        <v>0.408</v>
      </c>
      <c r="L42" s="724">
        <v>0.433</v>
      </c>
      <c r="M42" s="724">
        <v>0.458</v>
      </c>
      <c r="N42" s="724">
        <v>0.468</v>
      </c>
      <c r="O42" s="724">
        <v>0.485</v>
      </c>
      <c r="P42" s="724">
        <v>0.508</v>
      </c>
      <c r="Q42" s="724">
        <v>0.523</v>
      </c>
      <c r="R42" s="724">
        <v>0.537</v>
      </c>
      <c r="S42" s="724">
        <v>0.554</v>
      </c>
      <c r="T42" s="724">
        <v>0.587</v>
      </c>
      <c r="U42" s="724">
        <v>0.622</v>
      </c>
      <c r="V42" s="724">
        <v>0.653</v>
      </c>
      <c r="W42" s="724">
        <v>0.636</v>
      </c>
      <c r="X42" s="724">
        <v>0.644</v>
      </c>
      <c r="Y42" s="724">
        <v>0.638</v>
      </c>
      <c r="Z42" s="724">
        <v>0.615</v>
      </c>
      <c r="AA42" s="724">
        <v>0.622</v>
      </c>
      <c r="AB42" s="724">
        <v>0.64</v>
      </c>
      <c r="AC42" s="725">
        <f t="shared" si="2"/>
        <v>2.8938906752411526</v>
      </c>
      <c r="AD42" s="694" t="s">
        <v>151</v>
      </c>
    </row>
    <row r="43" spans="1:30" ht="12.75" customHeight="1">
      <c r="A43" s="650"/>
      <c r="B43" s="663" t="s">
        <v>152</v>
      </c>
      <c r="C43" s="682">
        <v>3.726</v>
      </c>
      <c r="D43" s="682">
        <v>4.257</v>
      </c>
      <c r="E43" s="674">
        <v>3.89</v>
      </c>
      <c r="F43" s="674">
        <v>3.935</v>
      </c>
      <c r="G43" s="674">
        <v>3.935</v>
      </c>
      <c r="H43" s="674">
        <v>3.935</v>
      </c>
      <c r="I43" s="674">
        <v>4</v>
      </c>
      <c r="J43" s="674">
        <v>3.752</v>
      </c>
      <c r="K43" s="674">
        <v>4.117</v>
      </c>
      <c r="L43" s="674">
        <v>4.248</v>
      </c>
      <c r="M43" s="674">
        <v>4.212</v>
      </c>
      <c r="N43" s="674">
        <v>4.177</v>
      </c>
      <c r="O43" s="674">
        <v>4.141</v>
      </c>
      <c r="P43" s="674">
        <v>4.105</v>
      </c>
      <c r="Q43" s="674">
        <v>4.125</v>
      </c>
      <c r="R43" s="674">
        <v>4.005</v>
      </c>
      <c r="S43" s="674">
        <v>4.231</v>
      </c>
      <c r="T43" s="674">
        <v>4.312</v>
      </c>
      <c r="U43" s="674">
        <v>4.258</v>
      </c>
      <c r="V43" s="674">
        <v>4.268</v>
      </c>
      <c r="W43" s="674">
        <v>4.36</v>
      </c>
      <c r="X43" s="674">
        <v>4.401</v>
      </c>
      <c r="Y43" s="674">
        <f>4.506</f>
        <v>4.506</v>
      </c>
      <c r="Z43" s="674">
        <v>4.748</v>
      </c>
      <c r="AA43" s="674">
        <v>3.788</v>
      </c>
      <c r="AB43" s="674">
        <v>3.738</v>
      </c>
      <c r="AC43" s="684">
        <f t="shared" si="2"/>
        <v>-1.3199577613516311</v>
      </c>
      <c r="AD43" s="663" t="s">
        <v>152</v>
      </c>
    </row>
    <row r="44" spans="1:30" s="679" customFormat="1" ht="12.75" customHeight="1">
      <c r="A44" s="671"/>
      <c r="B44" s="726" t="s">
        <v>153</v>
      </c>
      <c r="C44" s="727">
        <v>1.885</v>
      </c>
      <c r="D44" s="727">
        <v>2.486</v>
      </c>
      <c r="E44" s="711">
        <v>3.318</v>
      </c>
      <c r="F44" s="711">
        <v>3.627</v>
      </c>
      <c r="G44" s="711">
        <v>3.583</v>
      </c>
      <c r="H44" s="711">
        <v>3.539</v>
      </c>
      <c r="I44" s="712">
        <v>3.531</v>
      </c>
      <c r="J44" s="711">
        <f>2.3881+0.8137+2.327</f>
        <v>5.5288</v>
      </c>
      <c r="K44" s="711">
        <f>2.2944+0.8259+2.304</f>
        <v>5.4243</v>
      </c>
      <c r="L44" s="711">
        <f>2.2758+0.8245+2.287</f>
        <v>5.3873</v>
      </c>
      <c r="M44" s="710">
        <f>0.547+2.0788+2.129</f>
        <v>4.7548</v>
      </c>
      <c r="N44" s="711">
        <f>0.529+2.1269+2.069</f>
        <v>4.7249</v>
      </c>
      <c r="O44" s="711">
        <f>0.5283+2.1834+2.087</f>
        <v>4.7987</v>
      </c>
      <c r="P44" s="711">
        <f>0.5267+2.3116+2.01</f>
        <v>4.8483</v>
      </c>
      <c r="Q44" s="711">
        <f>0.5281+2.3648+1.968</f>
        <v>4.8609</v>
      </c>
      <c r="R44" s="711">
        <f>0.5193+2.4579+2.017</f>
        <v>4.994199999999999</v>
      </c>
      <c r="S44" s="711">
        <f>0.5348+2.4569+2.066</f>
        <v>5.0577000000000005</v>
      </c>
      <c r="T44" s="711">
        <v>5.3115</v>
      </c>
      <c r="U44" s="711">
        <v>5.6021</v>
      </c>
      <c r="V44" s="711">
        <v>5.673</v>
      </c>
      <c r="W44" s="711">
        <v>5.3265</v>
      </c>
      <c r="X44" s="711">
        <v>5.4176910016</v>
      </c>
      <c r="Y44" s="711">
        <v>5.5076538816</v>
      </c>
      <c r="Z44" s="711">
        <v>5.6060850048</v>
      </c>
      <c r="AA44" s="711">
        <v>5.7069478848</v>
      </c>
      <c r="AB44" s="711">
        <v>5.7751977792</v>
      </c>
      <c r="AC44" s="728">
        <f t="shared" si="2"/>
        <v>1.1959088426543758</v>
      </c>
      <c r="AD44" s="726" t="s">
        <v>153</v>
      </c>
    </row>
    <row r="45" spans="2:30" ht="15" customHeight="1">
      <c r="B45" s="765" t="s">
        <v>181</v>
      </c>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6"/>
    </row>
    <row r="46" spans="2:29" ht="12.75" customHeight="1">
      <c r="B46" s="767" t="s">
        <v>174</v>
      </c>
      <c r="C46" s="768"/>
      <c r="D46" s="736"/>
      <c r="E46" s="736"/>
      <c r="F46" s="736"/>
      <c r="G46" s="736"/>
      <c r="H46" s="769"/>
      <c r="I46" s="736"/>
      <c r="J46" s="736"/>
      <c r="K46" s="733"/>
      <c r="L46" s="736"/>
      <c r="M46" s="734"/>
      <c r="N46" s="734"/>
      <c r="O46" s="736"/>
      <c r="P46" s="734"/>
      <c r="Q46" s="734"/>
      <c r="R46" s="770"/>
      <c r="S46" s="771"/>
      <c r="T46" s="771"/>
      <c r="U46" s="771"/>
      <c r="V46" s="771"/>
      <c r="W46" s="771"/>
      <c r="X46" s="771"/>
      <c r="Y46" s="771"/>
      <c r="Z46" s="771"/>
      <c r="AA46" s="771"/>
      <c r="AB46" s="771"/>
      <c r="AC46" s="771"/>
    </row>
    <row r="47" spans="2:18" s="631" customFormat="1" ht="12.75" customHeight="1">
      <c r="B47" s="631" t="s">
        <v>328</v>
      </c>
      <c r="D47" s="772"/>
      <c r="E47" s="772"/>
      <c r="F47" s="772"/>
      <c r="G47" s="772"/>
      <c r="H47" s="772"/>
      <c r="I47" s="772"/>
      <c r="J47" s="772"/>
      <c r="K47" s="772"/>
      <c r="L47" s="772"/>
      <c r="M47" s="772"/>
      <c r="N47" s="772"/>
      <c r="O47" s="772"/>
      <c r="P47" s="772"/>
      <c r="Q47" s="772"/>
      <c r="R47" s="772"/>
    </row>
    <row r="48" spans="2:29" s="631" customFormat="1" ht="12.75" customHeight="1">
      <c r="B48" s="1096" t="s">
        <v>264</v>
      </c>
      <c r="C48" s="1096"/>
      <c r="D48" s="1096"/>
      <c r="E48" s="1096"/>
      <c r="F48" s="1096"/>
      <c r="G48" s="1096"/>
      <c r="H48" s="1096"/>
      <c r="I48" s="1096"/>
      <c r="J48" s="1096"/>
      <c r="K48" s="1096"/>
      <c r="L48" s="1096"/>
      <c r="M48" s="1096"/>
      <c r="N48" s="1096"/>
      <c r="O48" s="1096"/>
      <c r="P48" s="1096"/>
      <c r="Q48" s="1096"/>
      <c r="R48" s="1096"/>
      <c r="S48" s="1096"/>
      <c r="T48" s="1096"/>
      <c r="U48" s="1096"/>
      <c r="V48" s="1096"/>
      <c r="W48" s="1096"/>
      <c r="X48" s="1096"/>
      <c r="Y48" s="1096"/>
      <c r="Z48" s="1096"/>
      <c r="AA48" s="1096"/>
      <c r="AB48" s="1096"/>
      <c r="AC48" s="1096"/>
    </row>
    <row r="49" spans="2:30" s="631" customFormat="1" ht="11.25" customHeight="1">
      <c r="B49" s="773" t="s">
        <v>182</v>
      </c>
      <c r="D49" s="772"/>
      <c r="E49" s="772"/>
      <c r="F49" s="772"/>
      <c r="G49" s="772"/>
      <c r="H49" s="772"/>
      <c r="I49" s="772"/>
      <c r="J49" s="772"/>
      <c r="K49" s="772"/>
      <c r="L49" s="772"/>
      <c r="M49" s="772"/>
      <c r="N49" s="772"/>
      <c r="O49" s="772"/>
      <c r="P49" s="772"/>
      <c r="Q49" s="772"/>
      <c r="R49" s="772"/>
      <c r="S49" s="772"/>
      <c r="T49" s="628"/>
      <c r="U49" s="628"/>
      <c r="V49" s="628"/>
      <c r="W49" s="628"/>
      <c r="X49" s="628"/>
      <c r="Y49" s="628"/>
      <c r="Z49" s="628"/>
      <c r="AA49" s="628"/>
      <c r="AB49" s="628"/>
      <c r="AC49" s="628"/>
      <c r="AD49" s="628"/>
    </row>
    <row r="50" spans="3:19" ht="12.75" customHeight="1">
      <c r="C50" s="774"/>
      <c r="D50" s="774"/>
      <c r="E50" s="774"/>
      <c r="F50" s="774"/>
      <c r="G50" s="774"/>
      <c r="H50" s="774"/>
      <c r="I50" s="774"/>
      <c r="J50" s="774"/>
      <c r="K50" s="774"/>
      <c r="L50" s="775"/>
      <c r="M50" s="775"/>
      <c r="N50" s="775"/>
      <c r="O50" s="775"/>
      <c r="P50" s="775"/>
      <c r="Q50" s="775"/>
      <c r="R50" s="774"/>
      <c r="S50" s="774"/>
    </row>
  </sheetData>
  <sheetProtection/>
  <mergeCells count="2">
    <mergeCell ref="B2:AD2"/>
    <mergeCell ref="B48:AC4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AD65"/>
  <sheetViews>
    <sheetView zoomScalePageLayoutView="0" workbookViewId="0" topLeftCell="A1">
      <selection activeCell="A1" sqref="A1"/>
    </sheetView>
  </sheetViews>
  <sheetFormatPr defaultColWidth="9.140625" defaultRowHeight="12.75"/>
  <cols>
    <col min="1" max="1" width="2.7109375" style="650" customWidth="1"/>
    <col min="2" max="2" width="4.00390625" style="628" customWidth="1"/>
    <col min="3" max="10" width="6.7109375" style="628" customWidth="1"/>
    <col min="11" max="14" width="6.7109375" style="628" hidden="1" customWidth="1"/>
    <col min="15" max="20" width="6.7109375" style="628" customWidth="1"/>
    <col min="21" max="28" width="7.28125" style="628" customWidth="1"/>
    <col min="29" max="29" width="6.28125" style="628" customWidth="1"/>
    <col min="30" max="30" width="4.00390625" style="628" customWidth="1"/>
    <col min="31" max="16384" width="9.140625" style="628" customWidth="1"/>
  </cols>
  <sheetData>
    <row r="1" spans="2:30" ht="14.25" customHeight="1">
      <c r="B1" s="625"/>
      <c r="C1" s="626"/>
      <c r="D1" s="626"/>
      <c r="E1" s="626"/>
      <c r="F1" s="626"/>
      <c r="G1" s="626"/>
      <c r="H1" s="626"/>
      <c r="I1" s="626"/>
      <c r="J1" s="626"/>
      <c r="K1" s="626"/>
      <c r="L1" s="626"/>
      <c r="M1" s="626"/>
      <c r="N1" s="626"/>
      <c r="O1" s="626"/>
      <c r="P1" s="626"/>
      <c r="Q1" s="627"/>
      <c r="T1" s="629"/>
      <c r="U1" s="629"/>
      <c r="V1" s="629"/>
      <c r="W1" s="629"/>
      <c r="X1" s="629"/>
      <c r="Y1" s="629"/>
      <c r="Z1" s="629"/>
      <c r="AA1" s="629"/>
      <c r="AB1" s="629"/>
      <c r="AD1" s="629" t="s">
        <v>183</v>
      </c>
    </row>
    <row r="2" spans="1:30" s="631" customFormat="1" ht="30" customHeight="1">
      <c r="A2" s="776"/>
      <c r="B2" s="1095" t="s">
        <v>173</v>
      </c>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row>
    <row r="3" spans="3:30" ht="15" customHeight="1">
      <c r="C3" s="632"/>
      <c r="D3" s="632"/>
      <c r="E3" s="632"/>
      <c r="F3" s="632"/>
      <c r="G3" s="632"/>
      <c r="H3" s="632"/>
      <c r="I3" s="632"/>
      <c r="J3" s="632"/>
      <c r="K3" s="632"/>
      <c r="L3" s="632"/>
      <c r="M3" s="632"/>
      <c r="N3" s="632"/>
      <c r="O3" s="632"/>
      <c r="P3" s="632"/>
      <c r="Q3" s="632"/>
      <c r="X3" s="632" t="s">
        <v>263</v>
      </c>
      <c r="Y3" s="632"/>
      <c r="Z3" s="632"/>
      <c r="AA3" s="632"/>
      <c r="AB3" s="632"/>
      <c r="AC3" s="633"/>
      <c r="AD3" s="632"/>
    </row>
    <row r="4" spans="2:30" ht="19.5" customHeight="1">
      <c r="B4" s="634"/>
      <c r="C4" s="635">
        <v>1970</v>
      </c>
      <c r="D4" s="635">
        <v>1980</v>
      </c>
      <c r="E4" s="636">
        <v>1990</v>
      </c>
      <c r="F4" s="636">
        <v>1991</v>
      </c>
      <c r="G4" s="636">
        <v>1992</v>
      </c>
      <c r="H4" s="636">
        <v>1993</v>
      </c>
      <c r="I4" s="636">
        <v>1994</v>
      </c>
      <c r="J4" s="636">
        <v>1995</v>
      </c>
      <c r="K4" s="636">
        <v>1996</v>
      </c>
      <c r="L4" s="636">
        <v>1997</v>
      </c>
      <c r="M4" s="636">
        <v>1998</v>
      </c>
      <c r="N4" s="636">
        <v>1999</v>
      </c>
      <c r="O4" s="636">
        <v>2000</v>
      </c>
      <c r="P4" s="636">
        <v>2001</v>
      </c>
      <c r="Q4" s="636">
        <v>2002</v>
      </c>
      <c r="R4" s="636">
        <v>2003</v>
      </c>
      <c r="S4" s="636">
        <v>2004</v>
      </c>
      <c r="T4" s="636">
        <v>2005</v>
      </c>
      <c r="U4" s="636">
        <v>2006</v>
      </c>
      <c r="V4" s="636">
        <v>2007</v>
      </c>
      <c r="W4" s="636">
        <v>2008</v>
      </c>
      <c r="X4" s="636">
        <v>2009</v>
      </c>
      <c r="Y4" s="636">
        <v>2010</v>
      </c>
      <c r="Z4" s="636">
        <v>2011</v>
      </c>
      <c r="AA4" s="636">
        <v>2012</v>
      </c>
      <c r="AB4" s="636">
        <v>2013</v>
      </c>
      <c r="AC4" s="637" t="s">
        <v>314</v>
      </c>
      <c r="AD4" s="740"/>
    </row>
    <row r="5" spans="2:30" ht="9.75" customHeight="1">
      <c r="B5" s="634"/>
      <c r="C5" s="741"/>
      <c r="D5" s="741"/>
      <c r="E5" s="642"/>
      <c r="F5" s="642"/>
      <c r="G5" s="642"/>
      <c r="H5" s="642"/>
      <c r="I5" s="642"/>
      <c r="J5" s="642"/>
      <c r="K5" s="642"/>
      <c r="L5" s="642"/>
      <c r="M5" s="642"/>
      <c r="N5" s="642"/>
      <c r="O5" s="642"/>
      <c r="P5" s="642"/>
      <c r="Q5" s="642"/>
      <c r="R5" s="642"/>
      <c r="S5" s="642"/>
      <c r="T5" s="642"/>
      <c r="U5" s="642"/>
      <c r="V5" s="642"/>
      <c r="W5" s="642"/>
      <c r="X5" s="642"/>
      <c r="Y5" s="642"/>
      <c r="Z5" s="642"/>
      <c r="AA5" s="642"/>
      <c r="AB5" s="642"/>
      <c r="AC5" s="742" t="s">
        <v>147</v>
      </c>
      <c r="AD5" s="740"/>
    </row>
    <row r="6" spans="2:30" ht="12.75" customHeight="1">
      <c r="B6" s="644" t="s">
        <v>260</v>
      </c>
      <c r="C6" s="777" t="s">
        <v>99</v>
      </c>
      <c r="D6" s="777" t="s">
        <v>99</v>
      </c>
      <c r="E6" s="744" t="s">
        <v>99</v>
      </c>
      <c r="F6" s="744" t="s">
        <v>99</v>
      </c>
      <c r="G6" s="744" t="s">
        <v>99</v>
      </c>
      <c r="H6" s="744" t="s">
        <v>99</v>
      </c>
      <c r="I6" s="744" t="s">
        <v>99</v>
      </c>
      <c r="J6" s="745">
        <f aca="true" t="shared" si="0" ref="J6:AA6">SUM(J9:J36)</f>
        <v>71.89182693385314</v>
      </c>
      <c r="K6" s="745">
        <f t="shared" si="0"/>
        <v>72.75844704285268</v>
      </c>
      <c r="L6" s="745">
        <f t="shared" si="0"/>
        <v>73.40116750566168</v>
      </c>
      <c r="M6" s="745">
        <f t="shared" si="0"/>
        <v>74.51481376985845</v>
      </c>
      <c r="N6" s="745">
        <f t="shared" si="0"/>
        <v>76.18560558565865</v>
      </c>
      <c r="O6" s="745">
        <f t="shared" si="0"/>
        <v>78.3886663850065</v>
      </c>
      <c r="P6" s="745">
        <f t="shared" si="0"/>
        <v>79.07385800012631</v>
      </c>
      <c r="Q6" s="745">
        <f t="shared" si="0"/>
        <v>80.3215904203022</v>
      </c>
      <c r="R6" s="745">
        <f t="shared" si="0"/>
        <v>80.63254495128947</v>
      </c>
      <c r="S6" s="745">
        <f t="shared" si="0"/>
        <v>83.29197964551507</v>
      </c>
      <c r="T6" s="745">
        <f t="shared" si="0"/>
        <v>83.87840508521774</v>
      </c>
      <c r="U6" s="745">
        <f t="shared" si="0"/>
        <v>85.73438064703844</v>
      </c>
      <c r="V6" s="745">
        <f t="shared" si="0"/>
        <v>87.67852304119863</v>
      </c>
      <c r="W6" s="745">
        <f t="shared" si="0"/>
        <v>91.07272054464367</v>
      </c>
      <c r="X6" s="745">
        <f t="shared" si="0"/>
        <v>90.904844763775</v>
      </c>
      <c r="Y6" s="745">
        <f t="shared" si="0"/>
        <v>92.18346017885113</v>
      </c>
      <c r="Z6" s="745">
        <f t="shared" si="0"/>
        <v>93.36664850878708</v>
      </c>
      <c r="AA6" s="745">
        <f t="shared" si="0"/>
        <v>94.62820596495752</v>
      </c>
      <c r="AB6" s="745">
        <f>SUM(AB9:AB36)</f>
        <v>95.3854321054428</v>
      </c>
      <c r="AC6" s="778">
        <f>AB6/AA6*100-100</f>
        <v>0.8002118742119109</v>
      </c>
      <c r="AD6" s="779" t="s">
        <v>260</v>
      </c>
    </row>
    <row r="7" spans="2:30" ht="12.75" customHeight="1">
      <c r="B7" s="651" t="s">
        <v>89</v>
      </c>
      <c r="C7" s="656">
        <f aca="true" t="shared" si="1" ref="C7:AB7">SUM(C9,C12:C13,C15,C16:C18,C24,C27:C28,C30,C34:C36,C20)</f>
        <v>38.910000000000004</v>
      </c>
      <c r="D7" s="656">
        <f t="shared" si="1"/>
        <v>40.66999999999999</v>
      </c>
      <c r="E7" s="746">
        <f t="shared" si="1"/>
        <v>49.32144336889526</v>
      </c>
      <c r="F7" s="746">
        <f t="shared" si="1"/>
        <v>49.93738319525168</v>
      </c>
      <c r="G7" s="746">
        <f t="shared" si="1"/>
        <v>49.34032365057525</v>
      </c>
      <c r="H7" s="746">
        <f t="shared" si="1"/>
        <v>49.79658002638481</v>
      </c>
      <c r="I7" s="746">
        <f t="shared" si="1"/>
        <v>49.57435206953681</v>
      </c>
      <c r="J7" s="746">
        <f t="shared" si="1"/>
        <v>49.04754093385314</v>
      </c>
      <c r="K7" s="746">
        <f t="shared" si="1"/>
        <v>50.01926804285266</v>
      </c>
      <c r="L7" s="746">
        <f t="shared" si="1"/>
        <v>50.60617450566168</v>
      </c>
      <c r="M7" s="746">
        <f t="shared" si="1"/>
        <v>51.61265376985846</v>
      </c>
      <c r="N7" s="746">
        <f t="shared" si="1"/>
        <v>53.091897585658636</v>
      </c>
      <c r="O7" s="746">
        <f t="shared" si="1"/>
        <v>55.4060953850065</v>
      </c>
      <c r="P7" s="746">
        <f t="shared" si="1"/>
        <v>55.919451220126305</v>
      </c>
      <c r="Q7" s="746">
        <f t="shared" si="1"/>
        <v>57.172640790302204</v>
      </c>
      <c r="R7" s="746">
        <f t="shared" si="1"/>
        <v>57.52551635128948</v>
      </c>
      <c r="S7" s="746">
        <f t="shared" si="1"/>
        <v>59.77601487551511</v>
      </c>
      <c r="T7" s="746">
        <f t="shared" si="1"/>
        <v>60.89291354521772</v>
      </c>
      <c r="U7" s="746">
        <f t="shared" si="1"/>
        <v>62.65448164703845</v>
      </c>
      <c r="V7" s="746">
        <f t="shared" si="1"/>
        <v>64.29042504119863</v>
      </c>
      <c r="W7" s="746">
        <f t="shared" si="1"/>
        <v>66.18383214464366</v>
      </c>
      <c r="X7" s="746">
        <f t="shared" si="1"/>
        <v>66.221498863775</v>
      </c>
      <c r="Y7" s="746">
        <f t="shared" si="1"/>
        <v>67.2804499810751</v>
      </c>
      <c r="Z7" s="746">
        <f t="shared" si="1"/>
        <v>68.7916869414603</v>
      </c>
      <c r="AA7" s="746">
        <f t="shared" si="1"/>
        <v>68.63839150456752</v>
      </c>
      <c r="AB7" s="746">
        <f t="shared" si="1"/>
        <v>69.36725636635194</v>
      </c>
      <c r="AC7" s="780">
        <f aca="true" t="shared" si="2" ref="AC7:AC44">AB7/AA7*100-100</f>
        <v>1.0618909415089064</v>
      </c>
      <c r="AD7" s="781" t="s">
        <v>89</v>
      </c>
    </row>
    <row r="8" spans="2:30" ht="12.75" customHeight="1">
      <c r="B8" s="657" t="s">
        <v>261</v>
      </c>
      <c r="C8" s="662"/>
      <c r="D8" s="662"/>
      <c r="E8" s="748"/>
      <c r="F8" s="748"/>
      <c r="G8" s="748"/>
      <c r="H8" s="748"/>
      <c r="I8" s="748"/>
      <c r="J8" s="748">
        <f aca="true" t="shared" si="3" ref="J8:AB8">J6-J7</f>
        <v>22.844285999999997</v>
      </c>
      <c r="K8" s="748">
        <f t="shared" si="3"/>
        <v>22.73917900000002</v>
      </c>
      <c r="L8" s="748">
        <f t="shared" si="3"/>
        <v>22.794992999999998</v>
      </c>
      <c r="M8" s="748">
        <f t="shared" si="3"/>
        <v>22.902159999999988</v>
      </c>
      <c r="N8" s="748">
        <f t="shared" si="3"/>
        <v>23.093708000000014</v>
      </c>
      <c r="O8" s="748">
        <f t="shared" si="3"/>
        <v>22.982571</v>
      </c>
      <c r="P8" s="748">
        <f t="shared" si="3"/>
        <v>23.154406780000002</v>
      </c>
      <c r="Q8" s="748">
        <f t="shared" si="3"/>
        <v>23.148949629999997</v>
      </c>
      <c r="R8" s="748">
        <f t="shared" si="3"/>
        <v>23.107028599999992</v>
      </c>
      <c r="S8" s="748">
        <f t="shared" si="3"/>
        <v>23.51596476999996</v>
      </c>
      <c r="T8" s="748">
        <f t="shared" si="3"/>
        <v>22.985491540000012</v>
      </c>
      <c r="U8" s="748">
        <f t="shared" si="3"/>
        <v>23.079898999999983</v>
      </c>
      <c r="V8" s="748">
        <f t="shared" si="3"/>
        <v>23.388098</v>
      </c>
      <c r="W8" s="748">
        <f t="shared" si="3"/>
        <v>24.888888400000013</v>
      </c>
      <c r="X8" s="748">
        <f t="shared" si="3"/>
        <v>24.683345900000006</v>
      </c>
      <c r="Y8" s="748">
        <f t="shared" si="3"/>
        <v>24.90301019777604</v>
      </c>
      <c r="Z8" s="748">
        <f t="shared" si="3"/>
        <v>24.57496156732678</v>
      </c>
      <c r="AA8" s="748">
        <f t="shared" si="3"/>
        <v>25.989814460389994</v>
      </c>
      <c r="AB8" s="748">
        <f t="shared" si="3"/>
        <v>26.018175739090864</v>
      </c>
      <c r="AC8" s="782">
        <f t="shared" si="2"/>
        <v>0.10912459088191895</v>
      </c>
      <c r="AD8" s="657" t="s">
        <v>261</v>
      </c>
    </row>
    <row r="9" spans="2:30" ht="12.75" customHeight="1">
      <c r="B9" s="663" t="s">
        <v>60</v>
      </c>
      <c r="C9" s="664">
        <v>0.86</v>
      </c>
      <c r="D9" s="664">
        <v>0.77</v>
      </c>
      <c r="E9" s="691">
        <v>0.74</v>
      </c>
      <c r="F9" s="691">
        <v>0.75</v>
      </c>
      <c r="G9" s="691">
        <v>0.76</v>
      </c>
      <c r="H9" s="691">
        <v>0.77</v>
      </c>
      <c r="I9" s="691">
        <v>0.79</v>
      </c>
      <c r="J9" s="691">
        <v>0.8</v>
      </c>
      <c r="K9" s="691">
        <v>0.81</v>
      </c>
      <c r="L9" s="691">
        <v>0.82</v>
      </c>
      <c r="M9" s="691">
        <v>0.82</v>
      </c>
      <c r="N9" s="691">
        <v>0.82</v>
      </c>
      <c r="O9" s="691">
        <v>0.87</v>
      </c>
      <c r="P9" s="691">
        <v>0.876</v>
      </c>
      <c r="Q9" s="692">
        <v>0.89</v>
      </c>
      <c r="R9" s="692">
        <v>0.9</v>
      </c>
      <c r="S9" s="692">
        <v>0.91</v>
      </c>
      <c r="T9" s="692">
        <v>0.93</v>
      </c>
      <c r="U9" s="692">
        <v>0.95</v>
      </c>
      <c r="V9" s="692">
        <v>0.97</v>
      </c>
      <c r="W9" s="692">
        <v>1</v>
      </c>
      <c r="X9" s="692">
        <v>1</v>
      </c>
      <c r="Y9" s="692">
        <v>1.07</v>
      </c>
      <c r="Z9" s="692">
        <f>Y9*329.9/311.6</f>
        <v>1.1328401797175867</v>
      </c>
      <c r="AA9" s="692">
        <f>Z9*(132.4+123.5)/(125.8+112.1)</f>
        <v>1.2185531819660802</v>
      </c>
      <c r="AB9" s="692">
        <f>AA9*354.8/348.8</f>
        <v>1.2395145325732948</v>
      </c>
      <c r="AC9" s="783">
        <f t="shared" si="2"/>
        <v>1.7201834862385255</v>
      </c>
      <c r="AD9" s="713" t="s">
        <v>60</v>
      </c>
    </row>
    <row r="10" spans="2:30" ht="12.75" customHeight="1">
      <c r="B10" s="651" t="s">
        <v>101</v>
      </c>
      <c r="C10" s="667"/>
      <c r="D10" s="667"/>
      <c r="E10" s="668">
        <v>0.586</v>
      </c>
      <c r="F10" s="668">
        <v>0.454</v>
      </c>
      <c r="G10" s="668">
        <v>0.524</v>
      </c>
      <c r="H10" s="668">
        <v>0.283</v>
      </c>
      <c r="I10" s="668">
        <v>0.25</v>
      </c>
      <c r="J10" s="668">
        <v>0.283</v>
      </c>
      <c r="K10" s="668">
        <v>0.296</v>
      </c>
      <c r="L10" s="699">
        <v>0.308</v>
      </c>
      <c r="M10" s="668">
        <v>0.444</v>
      </c>
      <c r="N10" s="668">
        <v>0.46</v>
      </c>
      <c r="O10" s="668">
        <v>0.419</v>
      </c>
      <c r="P10" s="668">
        <v>0.469</v>
      </c>
      <c r="Q10" s="668">
        <v>0.436</v>
      </c>
      <c r="R10" s="668">
        <v>0.486</v>
      </c>
      <c r="S10" s="668">
        <v>0.44</v>
      </c>
      <c r="T10" s="668">
        <v>0.434</v>
      </c>
      <c r="U10" s="668">
        <v>0.446</v>
      </c>
      <c r="V10" s="668">
        <v>0.443</v>
      </c>
      <c r="W10" s="668">
        <v>0.486</v>
      </c>
      <c r="X10" s="668">
        <v>0.688</v>
      </c>
      <c r="Y10" s="668">
        <f>0.909</f>
        <v>0.909</v>
      </c>
      <c r="Z10" s="668">
        <v>0.872</v>
      </c>
      <c r="AA10" s="668">
        <v>1.02</v>
      </c>
      <c r="AB10" s="668">
        <v>1.01</v>
      </c>
      <c r="AC10" s="693">
        <f t="shared" si="2"/>
        <v>-0.9803921568627345</v>
      </c>
      <c r="AD10" s="651" t="s">
        <v>101</v>
      </c>
    </row>
    <row r="11" spans="1:30" s="679" customFormat="1" ht="12.75" customHeight="1">
      <c r="A11" s="671"/>
      <c r="B11" s="663" t="s">
        <v>61</v>
      </c>
      <c r="C11" s="753"/>
      <c r="D11" s="753"/>
      <c r="E11" s="676"/>
      <c r="F11" s="676"/>
      <c r="G11" s="676"/>
      <c r="H11" s="676" t="s">
        <v>99</v>
      </c>
      <c r="I11" s="676" t="s">
        <v>99</v>
      </c>
      <c r="J11" s="676">
        <v>7.688</v>
      </c>
      <c r="K11" s="676">
        <v>7.791</v>
      </c>
      <c r="L11" s="676">
        <v>7.863</v>
      </c>
      <c r="M11" s="676">
        <v>7.855</v>
      </c>
      <c r="N11" s="676">
        <v>8.154</v>
      </c>
      <c r="O11" s="676">
        <v>8.068</v>
      </c>
      <c r="P11" s="676">
        <v>8.227</v>
      </c>
      <c r="Q11" s="676">
        <v>8.307</v>
      </c>
      <c r="R11" s="676">
        <v>8.5634</v>
      </c>
      <c r="S11" s="676">
        <f>4.8847+3.8408</f>
        <v>8.7255</v>
      </c>
      <c r="T11" s="676">
        <f>4.769+3.1652</f>
        <v>7.934200000000001</v>
      </c>
      <c r="U11" s="676">
        <f>4.5344+3.2644</f>
        <v>7.7988</v>
      </c>
      <c r="V11" s="676">
        <f>4.4489+3.3015</f>
        <v>7.7504</v>
      </c>
      <c r="W11" s="676">
        <f>4.678+4.4648</f>
        <v>9.142800000000001</v>
      </c>
      <c r="X11" s="676">
        <v>8.9867</v>
      </c>
      <c r="Y11" s="676">
        <f>4.624+4.373</f>
        <v>8.997</v>
      </c>
      <c r="Z11" s="676">
        <f>4.461+4.255</f>
        <v>8.716000000000001</v>
      </c>
      <c r="AA11" s="676">
        <f>4.465+5.037</f>
        <v>9.501999999999999</v>
      </c>
      <c r="AB11" s="676">
        <v>9.580900000000002</v>
      </c>
      <c r="AC11" s="684">
        <f t="shared" si="2"/>
        <v>0.8303515049463499</v>
      </c>
      <c r="AD11" s="663" t="s">
        <v>61</v>
      </c>
    </row>
    <row r="12" spans="2:30" ht="12.75" customHeight="1">
      <c r="B12" s="651" t="s">
        <v>14</v>
      </c>
      <c r="C12" s="784" t="s">
        <v>146</v>
      </c>
      <c r="D12" s="784" t="s">
        <v>146</v>
      </c>
      <c r="E12" s="785" t="s">
        <v>146</v>
      </c>
      <c r="F12" s="785" t="s">
        <v>146</v>
      </c>
      <c r="G12" s="785" t="s">
        <v>146</v>
      </c>
      <c r="H12" s="785" t="s">
        <v>146</v>
      </c>
      <c r="I12" s="785" t="s">
        <v>146</v>
      </c>
      <c r="J12" s="785" t="s">
        <v>146</v>
      </c>
      <c r="K12" s="785" t="s">
        <v>146</v>
      </c>
      <c r="L12" s="785" t="s">
        <v>146</v>
      </c>
      <c r="M12" s="785" t="s">
        <v>146</v>
      </c>
      <c r="N12" s="785" t="s">
        <v>146</v>
      </c>
      <c r="O12" s="785" t="s">
        <v>146</v>
      </c>
      <c r="P12" s="785" t="s">
        <v>146</v>
      </c>
      <c r="Q12" s="668">
        <v>0.009</v>
      </c>
      <c r="R12" s="668">
        <v>0.067</v>
      </c>
      <c r="S12" s="668">
        <v>0.128</v>
      </c>
      <c r="T12" s="668">
        <v>0.162</v>
      </c>
      <c r="U12" s="668">
        <v>0.164</v>
      </c>
      <c r="V12" s="668">
        <v>0.177</v>
      </c>
      <c r="W12" s="668">
        <v>0.195</v>
      </c>
      <c r="X12" s="668">
        <v>0.215</v>
      </c>
      <c r="Y12" s="668">
        <f>0.239</f>
        <v>0.239</v>
      </c>
      <c r="Z12" s="668">
        <v>0.278</v>
      </c>
      <c r="AA12" s="668">
        <v>0.274</v>
      </c>
      <c r="AB12" s="668">
        <v>0.284</v>
      </c>
      <c r="AC12" s="693">
        <f t="shared" si="2"/>
        <v>3.649635036496335</v>
      </c>
      <c r="AD12" s="651" t="s">
        <v>14</v>
      </c>
    </row>
    <row r="13" spans="1:30" s="679" customFormat="1" ht="12.75" customHeight="1">
      <c r="A13" s="671"/>
      <c r="B13" s="663" t="s">
        <v>63</v>
      </c>
      <c r="C13" s="786">
        <v>14.63</v>
      </c>
      <c r="D13" s="786">
        <v>13.84</v>
      </c>
      <c r="E13" s="787">
        <v>15.1</v>
      </c>
      <c r="F13" s="787">
        <v>15.14</v>
      </c>
      <c r="G13" s="787">
        <v>14.43</v>
      </c>
      <c r="H13" s="787">
        <v>14.62</v>
      </c>
      <c r="I13" s="787">
        <v>14.47</v>
      </c>
      <c r="J13" s="787">
        <v>14.43</v>
      </c>
      <c r="K13" s="787">
        <v>14.47</v>
      </c>
      <c r="L13" s="787">
        <v>14.5</v>
      </c>
      <c r="M13" s="787">
        <v>14.4</v>
      </c>
      <c r="N13" s="787">
        <v>14.5</v>
      </c>
      <c r="O13" s="787">
        <v>14.6</v>
      </c>
      <c r="P13" s="787">
        <v>14.7</v>
      </c>
      <c r="Q13" s="676">
        <v>14.74</v>
      </c>
      <c r="R13" s="676">
        <v>14.75</v>
      </c>
      <c r="S13" s="676">
        <v>14.986</v>
      </c>
      <c r="T13" s="676">
        <v>15.485</v>
      </c>
      <c r="U13" s="676">
        <v>15.568</v>
      </c>
      <c r="V13" s="676">
        <v>15.92</v>
      </c>
      <c r="W13" s="676">
        <v>15.991</v>
      </c>
      <c r="X13" s="676">
        <v>16.496</v>
      </c>
      <c r="Y13" s="676">
        <f>16.349</f>
        <v>16.349</v>
      </c>
      <c r="Z13" s="676">
        <v>16.6</v>
      </c>
      <c r="AA13" s="676">
        <v>16.6</v>
      </c>
      <c r="AB13" s="676">
        <v>16.7</v>
      </c>
      <c r="AC13" s="684">
        <f t="shared" si="2"/>
        <v>0.6024096385542066</v>
      </c>
      <c r="AD13" s="663" t="s">
        <v>63</v>
      </c>
    </row>
    <row r="14" spans="2:30" ht="12.75" customHeight="1">
      <c r="B14" s="651" t="s">
        <v>64</v>
      </c>
      <c r="C14" s="667" t="s">
        <v>99</v>
      </c>
      <c r="D14" s="667" t="s">
        <v>99</v>
      </c>
      <c r="E14" s="668" t="s">
        <v>99</v>
      </c>
      <c r="F14" s="668" t="s">
        <v>99</v>
      </c>
      <c r="G14" s="668" t="s">
        <v>99</v>
      </c>
      <c r="H14" s="668" t="s">
        <v>99</v>
      </c>
      <c r="I14" s="668" t="s">
        <v>99</v>
      </c>
      <c r="J14" s="669">
        <f>0.0352*3</f>
        <v>0.1056</v>
      </c>
      <c r="K14" s="669">
        <f>0.0356*3</f>
        <v>0.1068</v>
      </c>
      <c r="L14" s="669">
        <f>0.0369*3</f>
        <v>0.1107</v>
      </c>
      <c r="M14" s="669">
        <f>0.0306*3</f>
        <v>0.09179999999999999</v>
      </c>
      <c r="N14" s="669">
        <f>0.0293*3</f>
        <v>0.0879</v>
      </c>
      <c r="O14" s="669">
        <f>0.0349*3</f>
        <v>0.1047</v>
      </c>
      <c r="P14" s="669">
        <f>0.0292*3</f>
        <v>0.0876</v>
      </c>
      <c r="Q14" s="669">
        <f>0.0308*3</f>
        <v>0.09240000000000001</v>
      </c>
      <c r="R14" s="669">
        <f>0.0311*3</f>
        <v>0.0933</v>
      </c>
      <c r="S14" s="669">
        <f>0.0278*3</f>
        <v>0.0834</v>
      </c>
      <c r="T14" s="669">
        <f>0.0251*3</f>
        <v>0.0753</v>
      </c>
      <c r="U14" s="669">
        <f>0.0262*3</f>
        <v>0.0786</v>
      </c>
      <c r="V14" s="669">
        <f>0.0264*3</f>
        <v>0.07919999999999999</v>
      </c>
      <c r="W14" s="669">
        <f>0.0253*3</f>
        <v>0.0759</v>
      </c>
      <c r="X14" s="669">
        <f>0.0251*3</f>
        <v>0.0753</v>
      </c>
      <c r="Y14" s="669">
        <f>0.0245*3</f>
        <v>0.07350000000000001</v>
      </c>
      <c r="Z14" s="669">
        <f>0.0221*3</f>
        <v>0.0663</v>
      </c>
      <c r="AA14" s="669">
        <f>0.0315*3</f>
        <v>0.0945</v>
      </c>
      <c r="AB14" s="669">
        <f>AA14*1.31164272977145</f>
        <v>0.12395023796340202</v>
      </c>
      <c r="AC14" s="670">
        <f t="shared" si="2"/>
        <v>31.164272977145004</v>
      </c>
      <c r="AD14" s="651" t="s">
        <v>64</v>
      </c>
    </row>
    <row r="15" spans="2:30" ht="12.75" customHeight="1">
      <c r="B15" s="663" t="s">
        <v>68</v>
      </c>
      <c r="C15" s="788" t="s">
        <v>146</v>
      </c>
      <c r="D15" s="788" t="s">
        <v>146</v>
      </c>
      <c r="E15" s="789" t="s">
        <v>146</v>
      </c>
      <c r="F15" s="789" t="s">
        <v>146</v>
      </c>
      <c r="G15" s="789" t="s">
        <v>146</v>
      </c>
      <c r="H15" s="789" t="s">
        <v>146</v>
      </c>
      <c r="I15" s="789" t="s">
        <v>146</v>
      </c>
      <c r="J15" s="789" t="s">
        <v>146</v>
      </c>
      <c r="K15" s="789" t="s">
        <v>146</v>
      </c>
      <c r="L15" s="789" t="s">
        <v>146</v>
      </c>
      <c r="M15" s="789" t="s">
        <v>146</v>
      </c>
      <c r="N15" s="789" t="s">
        <v>146</v>
      </c>
      <c r="O15" s="789" t="s">
        <v>146</v>
      </c>
      <c r="P15" s="789" t="s">
        <v>146</v>
      </c>
      <c r="Q15" s="789" t="s">
        <v>146</v>
      </c>
      <c r="R15" s="789" t="s">
        <v>146</v>
      </c>
      <c r="S15" s="692">
        <v>0.05</v>
      </c>
      <c r="T15" s="692">
        <v>0.11</v>
      </c>
      <c r="U15" s="691">
        <f>0.06713+0.04598</f>
        <v>0.11310999999999999</v>
      </c>
      <c r="V15" s="691">
        <f>0.107+0.068</f>
        <v>0.175</v>
      </c>
      <c r="W15" s="691">
        <f>0.083+0.058</f>
        <v>0.14100000000000001</v>
      </c>
      <c r="X15" s="691">
        <f>0.079+0.053</f>
        <v>0.132</v>
      </c>
      <c r="Y15" s="691">
        <f>0.069+0.062</f>
        <v>0.131</v>
      </c>
      <c r="Z15" s="691">
        <f>0.073+0.065</f>
        <v>0.138</v>
      </c>
      <c r="AA15" s="691">
        <f>0.0711+0.0729</f>
        <v>0.14400000000000002</v>
      </c>
      <c r="AB15" s="691">
        <v>0.14982473</v>
      </c>
      <c r="AC15" s="666">
        <f t="shared" si="2"/>
        <v>4.044951388888876</v>
      </c>
      <c r="AD15" s="663" t="s">
        <v>68</v>
      </c>
    </row>
    <row r="16" spans="2:30" ht="12.75" customHeight="1">
      <c r="B16" s="651" t="s">
        <v>15</v>
      </c>
      <c r="C16" s="689">
        <v>0.63</v>
      </c>
      <c r="D16" s="689">
        <v>0.68</v>
      </c>
      <c r="E16" s="669">
        <v>0.83</v>
      </c>
      <c r="F16" s="669">
        <v>0.81</v>
      </c>
      <c r="G16" s="669">
        <v>0.79</v>
      </c>
      <c r="H16" s="669">
        <v>0.77</v>
      </c>
      <c r="I16" s="669">
        <v>0.72</v>
      </c>
      <c r="J16" s="669">
        <v>0.74</v>
      </c>
      <c r="K16" s="669">
        <v>0.74</v>
      </c>
      <c r="L16" s="669">
        <v>0.75</v>
      </c>
      <c r="M16" s="669">
        <v>0.8</v>
      </c>
      <c r="N16" s="669">
        <v>0.81</v>
      </c>
      <c r="O16" s="669">
        <v>1.19</v>
      </c>
      <c r="P16" s="669">
        <v>1.33</v>
      </c>
      <c r="Q16" s="669">
        <v>1.35</v>
      </c>
      <c r="R16" s="669">
        <v>1.4</v>
      </c>
      <c r="S16" s="669">
        <v>1.5</v>
      </c>
      <c r="T16" s="669">
        <v>1.5</v>
      </c>
      <c r="U16" s="669">
        <v>1.55</v>
      </c>
      <c r="V16" s="669">
        <v>1.6</v>
      </c>
      <c r="W16" s="669">
        <v>1.66</v>
      </c>
      <c r="X16" s="669">
        <v>1.671</v>
      </c>
      <c r="Y16" s="669">
        <v>1.692746498280652</v>
      </c>
      <c r="Z16" s="669">
        <f>AVERAGE(W16:Y16)</f>
        <v>1.6745821660935505</v>
      </c>
      <c r="AA16" s="669">
        <v>1.6693892905336882</v>
      </c>
      <c r="AB16" s="669">
        <v>1.6640104964628029</v>
      </c>
      <c r="AC16" s="670">
        <f t="shared" si="2"/>
        <v>-0.3222013044761951</v>
      </c>
      <c r="AD16" s="651" t="s">
        <v>15</v>
      </c>
    </row>
    <row r="17" spans="2:30" ht="12.75" customHeight="1">
      <c r="B17" s="663" t="s">
        <v>66</v>
      </c>
      <c r="C17" s="664">
        <v>3.67</v>
      </c>
      <c r="D17" s="664">
        <v>3.88</v>
      </c>
      <c r="E17" s="691">
        <v>4.38</v>
      </c>
      <c r="F17" s="691">
        <v>4.3</v>
      </c>
      <c r="G17" s="691">
        <v>4.25</v>
      </c>
      <c r="H17" s="691">
        <v>4.2</v>
      </c>
      <c r="I17" s="691">
        <v>4.15</v>
      </c>
      <c r="J17" s="691">
        <v>4.25</v>
      </c>
      <c r="K17" s="691">
        <v>4.49</v>
      </c>
      <c r="L17" s="691">
        <v>4.57</v>
      </c>
      <c r="M17" s="691">
        <v>4.84</v>
      </c>
      <c r="N17" s="692">
        <v>5.06</v>
      </c>
      <c r="O17" s="692">
        <v>5.23</v>
      </c>
      <c r="P17" s="692">
        <v>5.34</v>
      </c>
      <c r="Q17" s="692">
        <v>5.5</v>
      </c>
      <c r="R17" s="692">
        <v>5.6</v>
      </c>
      <c r="S17" s="692">
        <v>5.8</v>
      </c>
      <c r="T17" s="692">
        <v>6</v>
      </c>
      <c r="U17" s="692">
        <v>6.2</v>
      </c>
      <c r="V17" s="692">
        <v>6.4</v>
      </c>
      <c r="W17" s="692">
        <v>6.5</v>
      </c>
      <c r="X17" s="692">
        <v>6.2725</v>
      </c>
      <c r="Y17" s="692">
        <f>6.25</f>
        <v>6.25</v>
      </c>
      <c r="Z17" s="692">
        <v>6.3428</v>
      </c>
      <c r="AA17" s="692">
        <v>6.042279538961874</v>
      </c>
      <c r="AB17" s="692">
        <f>AA17*(369.939+557)/(373.505+601)</f>
        <v>5.747353326628166</v>
      </c>
      <c r="AC17" s="783">
        <f t="shared" si="2"/>
        <v>-4.881042170127387</v>
      </c>
      <c r="AD17" s="663" t="s">
        <v>66</v>
      </c>
    </row>
    <row r="18" spans="2:30" ht="12.75" customHeight="1">
      <c r="B18" s="651" t="s">
        <v>67</v>
      </c>
      <c r="C18" s="667">
        <v>6.5</v>
      </c>
      <c r="D18" s="790">
        <v>7.7</v>
      </c>
      <c r="E18" s="700">
        <v>10.476443368895263</v>
      </c>
      <c r="F18" s="668">
        <v>10.233383195251669</v>
      </c>
      <c r="G18" s="668">
        <v>10.414323650575252</v>
      </c>
      <c r="H18" s="668">
        <v>10.37918002638481</v>
      </c>
      <c r="I18" s="668">
        <v>10.453352069536807</v>
      </c>
      <c r="J18" s="668">
        <v>9.327340933853145</v>
      </c>
      <c r="K18" s="668">
        <v>9.818268042852674</v>
      </c>
      <c r="L18" s="668">
        <v>10.054374505661677</v>
      </c>
      <c r="M18" s="668">
        <v>10.475653769858466</v>
      </c>
      <c r="N18" s="668">
        <v>10.935597585658641</v>
      </c>
      <c r="O18" s="668">
        <v>11.552395385006502</v>
      </c>
      <c r="P18" s="668">
        <v>11.641851220126304</v>
      </c>
      <c r="Q18" s="668">
        <v>12.347140790302205</v>
      </c>
      <c r="R18" s="668">
        <v>12.153216351289489</v>
      </c>
      <c r="S18" s="668">
        <v>13.148014875515091</v>
      </c>
      <c r="T18" s="668">
        <v>13.327197545217711</v>
      </c>
      <c r="U18" s="668">
        <v>13.68957164703845</v>
      </c>
      <c r="V18" s="668">
        <v>13.686135041198632</v>
      </c>
      <c r="W18" s="668">
        <v>14.539071144643675</v>
      </c>
      <c r="X18" s="668">
        <v>14.37481486377499</v>
      </c>
      <c r="Y18" s="668">
        <v>14.698168545440868</v>
      </c>
      <c r="Z18" s="668">
        <v>15.015286050531287</v>
      </c>
      <c r="AA18" s="668">
        <f>12.8+2.4</f>
        <v>15.200000000000001</v>
      </c>
      <c r="AB18" s="668">
        <v>15.166718825577808</v>
      </c>
      <c r="AC18" s="693">
        <f t="shared" si="2"/>
        <v>-0.21895509488284404</v>
      </c>
      <c r="AD18" s="651" t="s">
        <v>67</v>
      </c>
    </row>
    <row r="19" spans="2:30" ht="12.75" customHeight="1">
      <c r="B19" s="663" t="s">
        <v>148</v>
      </c>
      <c r="C19" s="682"/>
      <c r="D19" s="791"/>
      <c r="E19" s="792"/>
      <c r="F19" s="674"/>
      <c r="G19" s="674"/>
      <c r="H19" s="675">
        <v>0.546627</v>
      </c>
      <c r="I19" s="675">
        <v>0.542601</v>
      </c>
      <c r="J19" s="675">
        <v>0.525396</v>
      </c>
      <c r="K19" s="675">
        <v>0.48687899999999995</v>
      </c>
      <c r="L19" s="675">
        <v>0.498093</v>
      </c>
      <c r="M19" s="675">
        <v>0.487896</v>
      </c>
      <c r="N19" s="675">
        <v>0.48726600000000003</v>
      </c>
      <c r="O19" s="675">
        <v>0.504171</v>
      </c>
      <c r="P19" s="675">
        <v>0.531744</v>
      </c>
      <c r="Q19" s="675">
        <v>0.5347379999999999</v>
      </c>
      <c r="R19" s="675">
        <v>0.550308</v>
      </c>
      <c r="S19" s="675">
        <v>0.529083</v>
      </c>
      <c r="T19" s="675">
        <v>0.533166</v>
      </c>
      <c r="U19" s="675">
        <v>0.5597730000000001</v>
      </c>
      <c r="V19" s="675">
        <v>0.66096</v>
      </c>
      <c r="W19" s="675">
        <v>0.623604</v>
      </c>
      <c r="X19" s="675">
        <v>0.57882</v>
      </c>
      <c r="Y19" s="675">
        <v>0.549357</v>
      </c>
      <c r="Z19" s="675">
        <v>0.519531</v>
      </c>
      <c r="AA19" s="675">
        <f>0.174139*3</f>
        <v>0.5224169999999999</v>
      </c>
      <c r="AB19" s="675">
        <f>0.177596*3</f>
        <v>0.532788</v>
      </c>
      <c r="AC19" s="684">
        <f t="shared" si="2"/>
        <v>1.9851957344420441</v>
      </c>
      <c r="AD19" s="663" t="s">
        <v>148</v>
      </c>
    </row>
    <row r="20" spans="1:30" s="679" customFormat="1" ht="12.75" customHeight="1">
      <c r="A20" s="671"/>
      <c r="B20" s="694" t="s">
        <v>69</v>
      </c>
      <c r="C20" s="695">
        <v>2.21</v>
      </c>
      <c r="D20" s="695">
        <v>3.66</v>
      </c>
      <c r="E20" s="698">
        <f>2.58+1.629</f>
        <v>4.209</v>
      </c>
      <c r="F20" s="698">
        <v>5.328</v>
      </c>
      <c r="G20" s="698">
        <v>5.4</v>
      </c>
      <c r="H20" s="698">
        <v>5.5</v>
      </c>
      <c r="I20" s="698">
        <v>5.1</v>
      </c>
      <c r="J20" s="698">
        <f>4.038+1.1136</f>
        <v>5.1516</v>
      </c>
      <c r="K20" s="698">
        <v>5.282</v>
      </c>
      <c r="L20" s="698">
        <v>5.319</v>
      </c>
      <c r="M20" s="698">
        <v>5.251</v>
      </c>
      <c r="N20" s="698">
        <f>4.167+1.072</f>
        <v>5.239</v>
      </c>
      <c r="O20" s="698">
        <f>4.503+1.1057</f>
        <v>5.6087</v>
      </c>
      <c r="P20" s="698">
        <f>4.506+1.083</f>
        <v>5.589</v>
      </c>
      <c r="Q20" s="698">
        <f>4.843+1.042</f>
        <v>5.885</v>
      </c>
      <c r="R20" s="698">
        <f>4.935+1.05</f>
        <v>5.984999999999999</v>
      </c>
      <c r="S20" s="698">
        <f>4.954+1.051</f>
        <v>6.005</v>
      </c>
      <c r="T20" s="698">
        <f>4.982+1.053</f>
        <v>6.035</v>
      </c>
      <c r="U20" s="698">
        <f>5.204+1.075</f>
        <v>6.279</v>
      </c>
      <c r="V20" s="698">
        <f>5.637+1.088</f>
        <v>6.725</v>
      </c>
      <c r="W20" s="698">
        <f>5.777+1.107</f>
        <v>6.884</v>
      </c>
      <c r="X20" s="698">
        <f>1.108+5.84</f>
        <v>6.948</v>
      </c>
      <c r="Y20" s="698">
        <f>5.948+1.135</f>
        <v>7.083</v>
      </c>
      <c r="Z20" s="698">
        <f>5.849+1.246</f>
        <v>7.095000000000001</v>
      </c>
      <c r="AA20" s="698">
        <f>1.243+5.295</f>
        <v>6.538</v>
      </c>
      <c r="AB20" s="698">
        <f>1.243+5.673</f>
        <v>6.916</v>
      </c>
      <c r="AC20" s="701">
        <f t="shared" si="2"/>
        <v>5.781584582441113</v>
      </c>
      <c r="AD20" s="694" t="s">
        <v>69</v>
      </c>
    </row>
    <row r="21" spans="2:30" ht="12.75" customHeight="1">
      <c r="B21" s="663" t="s">
        <v>71</v>
      </c>
      <c r="C21" s="793" t="s">
        <v>146</v>
      </c>
      <c r="D21" s="793" t="s">
        <v>146</v>
      </c>
      <c r="E21" s="794" t="s">
        <v>146</v>
      </c>
      <c r="F21" s="794" t="s">
        <v>146</v>
      </c>
      <c r="G21" s="794" t="s">
        <v>146</v>
      </c>
      <c r="H21" s="794" t="s">
        <v>146</v>
      </c>
      <c r="I21" s="794" t="s">
        <v>146</v>
      </c>
      <c r="J21" s="794" t="s">
        <v>146</v>
      </c>
      <c r="K21" s="794" t="s">
        <v>146</v>
      </c>
      <c r="L21" s="794" t="s">
        <v>146</v>
      </c>
      <c r="M21" s="794" t="s">
        <v>146</v>
      </c>
      <c r="N21" s="794" t="s">
        <v>146</v>
      </c>
      <c r="O21" s="794" t="s">
        <v>146</v>
      </c>
      <c r="P21" s="794" t="s">
        <v>146</v>
      </c>
      <c r="Q21" s="794" t="s">
        <v>146</v>
      </c>
      <c r="R21" s="794" t="s">
        <v>146</v>
      </c>
      <c r="S21" s="794" t="s">
        <v>146</v>
      </c>
      <c r="T21" s="794" t="s">
        <v>146</v>
      </c>
      <c r="U21" s="794" t="s">
        <v>146</v>
      </c>
      <c r="V21" s="794" t="s">
        <v>146</v>
      </c>
      <c r="W21" s="794" t="s">
        <v>146</v>
      </c>
      <c r="X21" s="794" t="s">
        <v>146</v>
      </c>
      <c r="Y21" s="794" t="s">
        <v>146</v>
      </c>
      <c r="Z21" s="794" t="s">
        <v>146</v>
      </c>
      <c r="AA21" s="794" t="s">
        <v>146</v>
      </c>
      <c r="AB21" s="794" t="s">
        <v>146</v>
      </c>
      <c r="AC21" s="795" t="s">
        <v>146</v>
      </c>
      <c r="AD21" s="663" t="s">
        <v>71</v>
      </c>
    </row>
    <row r="22" spans="1:30" s="679" customFormat="1" ht="12.75" customHeight="1">
      <c r="A22" s="671"/>
      <c r="B22" s="694" t="s">
        <v>72</v>
      </c>
      <c r="C22" s="695" t="s">
        <v>99</v>
      </c>
      <c r="D22" s="695" t="s">
        <v>99</v>
      </c>
      <c r="E22" s="697">
        <f>0.2431*3</f>
        <v>0.7293000000000001</v>
      </c>
      <c r="F22" s="697">
        <f>0.2516*3</f>
        <v>0.7547999999999999</v>
      </c>
      <c r="G22" s="697">
        <f>0.1937*3</f>
        <v>0.5811000000000001</v>
      </c>
      <c r="H22" s="697">
        <f>0.1149*3</f>
        <v>0.3447</v>
      </c>
      <c r="I22" s="697">
        <f>0.1128*3</f>
        <v>0.3384</v>
      </c>
      <c r="J22" s="697">
        <f>0.1012*3</f>
        <v>0.3036</v>
      </c>
      <c r="K22" s="697">
        <f>0.0795*3</f>
        <v>0.2385</v>
      </c>
      <c r="L22" s="697">
        <f>0.0884*3</f>
        <v>0.2652</v>
      </c>
      <c r="M22" s="697">
        <f>0.098*3</f>
        <v>0.29400000000000004</v>
      </c>
      <c r="N22" s="697">
        <f>0.0938*3</f>
        <v>0.2814</v>
      </c>
      <c r="O22" s="697">
        <f>0.0889*3</f>
        <v>0.26670000000000005</v>
      </c>
      <c r="P22" s="697">
        <f>0.0869*3</f>
        <v>0.26070000000000004</v>
      </c>
      <c r="Q22" s="697">
        <f>0.0882*3</f>
        <v>0.2646</v>
      </c>
      <c r="R22" s="697">
        <f>0.0846*3</f>
        <v>0.25379999999999997</v>
      </c>
      <c r="S22" s="697">
        <f>0.0879*3</f>
        <v>0.26370000000000005</v>
      </c>
      <c r="T22" s="697">
        <f>0.0909*3</f>
        <v>0.2727</v>
      </c>
      <c r="U22" s="697">
        <f>0.0931*3</f>
        <v>0.2793</v>
      </c>
      <c r="V22" s="697">
        <f>0.0932*3</f>
        <v>0.2796</v>
      </c>
      <c r="W22" s="697">
        <f>0.0861*3</f>
        <v>0.2583</v>
      </c>
      <c r="X22" s="796">
        <f>0.057*3</f>
        <v>0.171</v>
      </c>
      <c r="Y22" s="697">
        <f>0.041*3</f>
        <v>0.123</v>
      </c>
      <c r="Z22" s="697">
        <f>0.0416*3</f>
        <v>0.1248</v>
      </c>
      <c r="AA22" s="697">
        <f>(30695+2777+7112)*3/1000000</f>
        <v>0.121752</v>
      </c>
      <c r="AB22" s="697">
        <v>0.132762</v>
      </c>
      <c r="AC22" s="705">
        <f t="shared" si="2"/>
        <v>9.042972600039406</v>
      </c>
      <c r="AD22" s="694" t="s">
        <v>72</v>
      </c>
    </row>
    <row r="23" spans="2:30" ht="12.75" customHeight="1">
      <c r="B23" s="663" t="s">
        <v>73</v>
      </c>
      <c r="C23" s="793" t="s">
        <v>146</v>
      </c>
      <c r="D23" s="793" t="s">
        <v>146</v>
      </c>
      <c r="E23" s="794" t="s">
        <v>146</v>
      </c>
      <c r="F23" s="794" t="s">
        <v>146</v>
      </c>
      <c r="G23" s="794" t="s">
        <v>146</v>
      </c>
      <c r="H23" s="794" t="s">
        <v>146</v>
      </c>
      <c r="I23" s="794" t="s">
        <v>146</v>
      </c>
      <c r="J23" s="794" t="s">
        <v>146</v>
      </c>
      <c r="K23" s="794" t="s">
        <v>146</v>
      </c>
      <c r="L23" s="794" t="s">
        <v>146</v>
      </c>
      <c r="M23" s="794" t="s">
        <v>146</v>
      </c>
      <c r="N23" s="794" t="s">
        <v>146</v>
      </c>
      <c r="O23" s="794" t="s">
        <v>146</v>
      </c>
      <c r="P23" s="794" t="s">
        <v>146</v>
      </c>
      <c r="Q23" s="794" t="s">
        <v>146</v>
      </c>
      <c r="R23" s="794" t="s">
        <v>146</v>
      </c>
      <c r="S23" s="794" t="s">
        <v>146</v>
      </c>
      <c r="T23" s="794" t="s">
        <v>146</v>
      </c>
      <c r="U23" s="794" t="s">
        <v>146</v>
      </c>
      <c r="V23" s="794" t="s">
        <v>146</v>
      </c>
      <c r="W23" s="794" t="s">
        <v>146</v>
      </c>
      <c r="X23" s="794" t="s">
        <v>146</v>
      </c>
      <c r="Y23" s="794" t="s">
        <v>146</v>
      </c>
      <c r="Z23" s="794" t="s">
        <v>146</v>
      </c>
      <c r="AA23" s="794" t="s">
        <v>146</v>
      </c>
      <c r="AB23" s="794" t="s">
        <v>146</v>
      </c>
      <c r="AC23" s="795" t="s">
        <v>146</v>
      </c>
      <c r="AD23" s="663" t="s">
        <v>73</v>
      </c>
    </row>
    <row r="24" spans="1:30" s="679" customFormat="1" ht="12.75" customHeight="1">
      <c r="A24" s="671"/>
      <c r="B24" s="694" t="s">
        <v>76</v>
      </c>
      <c r="C24" s="797" t="s">
        <v>146</v>
      </c>
      <c r="D24" s="797" t="s">
        <v>146</v>
      </c>
      <c r="E24" s="798" t="s">
        <v>146</v>
      </c>
      <c r="F24" s="798" t="s">
        <v>146</v>
      </c>
      <c r="G24" s="798" t="s">
        <v>146</v>
      </c>
      <c r="H24" s="798" t="s">
        <v>146</v>
      </c>
      <c r="I24" s="798" t="s">
        <v>146</v>
      </c>
      <c r="J24" s="798" t="s">
        <v>146</v>
      </c>
      <c r="K24" s="798" t="s">
        <v>146</v>
      </c>
      <c r="L24" s="798" t="s">
        <v>146</v>
      </c>
      <c r="M24" s="798" t="s">
        <v>146</v>
      </c>
      <c r="N24" s="798" t="s">
        <v>146</v>
      </c>
      <c r="O24" s="798" t="s">
        <v>146</v>
      </c>
      <c r="P24" s="798" t="s">
        <v>146</v>
      </c>
      <c r="Q24" s="798" t="s">
        <v>146</v>
      </c>
      <c r="R24" s="798" t="s">
        <v>146</v>
      </c>
      <c r="S24" s="798" t="s">
        <v>146</v>
      </c>
      <c r="T24" s="798" t="s">
        <v>146</v>
      </c>
      <c r="U24" s="798" t="s">
        <v>146</v>
      </c>
      <c r="V24" s="798" t="s">
        <v>146</v>
      </c>
      <c r="W24" s="798" t="s">
        <v>146</v>
      </c>
      <c r="X24" s="798" t="s">
        <v>146</v>
      </c>
      <c r="Y24" s="798" t="s">
        <v>146</v>
      </c>
      <c r="Z24" s="798" t="s">
        <v>146</v>
      </c>
      <c r="AA24" s="798" t="s">
        <v>146</v>
      </c>
      <c r="AB24" s="798" t="s">
        <v>146</v>
      </c>
      <c r="AC24" s="799" t="s">
        <v>146</v>
      </c>
      <c r="AD24" s="694" t="s">
        <v>76</v>
      </c>
    </row>
    <row r="25" spans="2:30" ht="12.75" customHeight="1">
      <c r="B25" s="663" t="s">
        <v>77</v>
      </c>
      <c r="C25" s="682" t="s">
        <v>99</v>
      </c>
      <c r="D25" s="682" t="s">
        <v>99</v>
      </c>
      <c r="E25" s="674" t="s">
        <v>99</v>
      </c>
      <c r="F25" s="674" t="s">
        <v>99</v>
      </c>
      <c r="G25" s="674" t="s">
        <v>99</v>
      </c>
      <c r="H25" s="674" t="s">
        <v>99</v>
      </c>
      <c r="I25" s="674" t="s">
        <v>99</v>
      </c>
      <c r="J25" s="675">
        <v>2.5</v>
      </c>
      <c r="K25" s="675">
        <v>2.5</v>
      </c>
      <c r="L25" s="675">
        <v>2.5</v>
      </c>
      <c r="M25" s="675">
        <v>2.55</v>
      </c>
      <c r="N25" s="674">
        <f>1.193+1.327</f>
        <v>2.52</v>
      </c>
      <c r="O25" s="674">
        <f>1.212+1.358</f>
        <v>2.5700000000000003</v>
      </c>
      <c r="P25" s="674">
        <f>1.214+1.357</f>
        <v>2.5709999999999997</v>
      </c>
      <c r="Q25" s="674">
        <f>1.201+1.335</f>
        <v>2.536</v>
      </c>
      <c r="R25" s="674">
        <f>1.193+1.323</f>
        <v>2.516</v>
      </c>
      <c r="S25" s="674">
        <f>1.169+1.251</f>
        <v>2.42</v>
      </c>
      <c r="T25" s="674">
        <f>1.144+1.209</f>
        <v>2.3529999999999998</v>
      </c>
      <c r="U25" s="674">
        <f>1.113+1.17</f>
        <v>2.283</v>
      </c>
      <c r="V25" s="674">
        <f>1.104+1.176</f>
        <v>2.2800000000000002</v>
      </c>
      <c r="W25" s="674">
        <f>1.095+1.24</f>
        <v>2.335</v>
      </c>
      <c r="X25" s="674">
        <f>1.185+1.339</f>
        <v>2.524</v>
      </c>
      <c r="Y25" s="674">
        <f>1.15+1.339</f>
        <v>2.489</v>
      </c>
      <c r="Z25" s="674">
        <f>1.161535+1.342378</f>
        <v>2.503913</v>
      </c>
      <c r="AA25" s="674">
        <v>2.4990787</v>
      </c>
      <c r="AB25" s="674">
        <v>2.5104894</v>
      </c>
      <c r="AC25" s="684">
        <f t="shared" si="2"/>
        <v>0.45659626485551996</v>
      </c>
      <c r="AD25" s="663" t="s">
        <v>77</v>
      </c>
    </row>
    <row r="26" spans="1:30" s="679" customFormat="1" ht="12.75" customHeight="1">
      <c r="A26" s="671"/>
      <c r="B26" s="694" t="s">
        <v>78</v>
      </c>
      <c r="C26" s="797" t="s">
        <v>146</v>
      </c>
      <c r="D26" s="797" t="s">
        <v>146</v>
      </c>
      <c r="E26" s="798" t="s">
        <v>146</v>
      </c>
      <c r="F26" s="798" t="s">
        <v>146</v>
      </c>
      <c r="G26" s="798" t="s">
        <v>146</v>
      </c>
      <c r="H26" s="798" t="s">
        <v>146</v>
      </c>
      <c r="I26" s="798" t="s">
        <v>146</v>
      </c>
      <c r="J26" s="798" t="s">
        <v>146</v>
      </c>
      <c r="K26" s="798" t="s">
        <v>146</v>
      </c>
      <c r="L26" s="798" t="s">
        <v>146</v>
      </c>
      <c r="M26" s="798" t="s">
        <v>146</v>
      </c>
      <c r="N26" s="798" t="s">
        <v>146</v>
      </c>
      <c r="O26" s="798" t="s">
        <v>146</v>
      </c>
      <c r="P26" s="798" t="s">
        <v>146</v>
      </c>
      <c r="Q26" s="798" t="s">
        <v>146</v>
      </c>
      <c r="R26" s="798" t="s">
        <v>146</v>
      </c>
      <c r="S26" s="798" t="s">
        <v>146</v>
      </c>
      <c r="T26" s="798" t="s">
        <v>146</v>
      </c>
      <c r="U26" s="798" t="s">
        <v>146</v>
      </c>
      <c r="V26" s="798" t="s">
        <v>146</v>
      </c>
      <c r="W26" s="798" t="s">
        <v>146</v>
      </c>
      <c r="X26" s="798" t="s">
        <v>146</v>
      </c>
      <c r="Y26" s="798" t="s">
        <v>146</v>
      </c>
      <c r="Z26" s="798" t="s">
        <v>146</v>
      </c>
      <c r="AA26" s="798" t="s">
        <v>146</v>
      </c>
      <c r="AB26" s="798" t="s">
        <v>146</v>
      </c>
      <c r="AC26" s="800" t="s">
        <v>146</v>
      </c>
      <c r="AD26" s="694" t="s">
        <v>78</v>
      </c>
    </row>
    <row r="27" spans="2:30" ht="12.75" customHeight="1">
      <c r="B27" s="663" t="s">
        <v>16</v>
      </c>
      <c r="C27" s="682">
        <v>1.24</v>
      </c>
      <c r="D27" s="682">
        <v>1.35</v>
      </c>
      <c r="E27" s="674">
        <v>1.26</v>
      </c>
      <c r="F27" s="674">
        <v>1.29</v>
      </c>
      <c r="G27" s="674">
        <v>1.32</v>
      </c>
      <c r="H27" s="674">
        <v>1.34</v>
      </c>
      <c r="I27" s="674">
        <v>1.39</v>
      </c>
      <c r="J27" s="674">
        <v>1.38</v>
      </c>
      <c r="K27" s="674">
        <v>1.39</v>
      </c>
      <c r="L27" s="675">
        <v>1.4</v>
      </c>
      <c r="M27" s="675">
        <v>1.4</v>
      </c>
      <c r="N27" s="675">
        <v>1.42</v>
      </c>
      <c r="O27" s="675">
        <v>1.43</v>
      </c>
      <c r="P27" s="675">
        <v>1.438</v>
      </c>
      <c r="Q27" s="675">
        <v>1.45</v>
      </c>
      <c r="R27" s="675">
        <v>1.48</v>
      </c>
      <c r="S27" s="675">
        <v>1.5</v>
      </c>
      <c r="T27" s="675">
        <v>1.5</v>
      </c>
      <c r="U27" s="675">
        <v>1.5</v>
      </c>
      <c r="V27" s="675">
        <v>1.52</v>
      </c>
      <c r="W27" s="675">
        <v>1.55</v>
      </c>
      <c r="X27" s="675">
        <v>1.56</v>
      </c>
      <c r="Y27" s="675">
        <v>1.580301937353571</v>
      </c>
      <c r="Z27" s="675">
        <f>AVERAGE(W27:Y27)</f>
        <v>1.563433979117857</v>
      </c>
      <c r="AA27" s="675">
        <v>1.4044406931058715</v>
      </c>
      <c r="AB27" s="675">
        <v>1.4574384551098667</v>
      </c>
      <c r="AC27" s="688">
        <f t="shared" si="2"/>
        <v>3.773584905660371</v>
      </c>
      <c r="AD27" s="663" t="s">
        <v>16</v>
      </c>
    </row>
    <row r="28" spans="1:30" s="679" customFormat="1" ht="12.75" customHeight="1">
      <c r="A28" s="671"/>
      <c r="B28" s="694" t="s">
        <v>81</v>
      </c>
      <c r="C28" s="695">
        <v>1.5</v>
      </c>
      <c r="D28" s="695">
        <v>1.65</v>
      </c>
      <c r="E28" s="698">
        <v>2.796</v>
      </c>
      <c r="F28" s="698">
        <v>2.926</v>
      </c>
      <c r="G28" s="698">
        <v>2.941</v>
      </c>
      <c r="H28" s="698">
        <v>3.1</v>
      </c>
      <c r="I28" s="698">
        <v>3.154</v>
      </c>
      <c r="J28" s="698">
        <v>3.3</v>
      </c>
      <c r="K28" s="698">
        <v>3.451</v>
      </c>
      <c r="L28" s="698">
        <v>3.407</v>
      </c>
      <c r="M28" s="698">
        <v>3.46</v>
      </c>
      <c r="N28" s="698">
        <v>3.536</v>
      </c>
      <c r="O28" s="698">
        <v>3.577</v>
      </c>
      <c r="P28" s="698">
        <v>3.618</v>
      </c>
      <c r="Q28" s="698">
        <v>3.613</v>
      </c>
      <c r="R28" s="698">
        <v>3.604</v>
      </c>
      <c r="S28" s="698">
        <v>3.676</v>
      </c>
      <c r="T28" s="698">
        <v>3.77</v>
      </c>
      <c r="U28" s="698">
        <v>3.866</v>
      </c>
      <c r="V28" s="698">
        <v>3.867</v>
      </c>
      <c r="W28" s="698">
        <v>3.961</v>
      </c>
      <c r="X28" s="698">
        <v>3.963</v>
      </c>
      <c r="Y28" s="698">
        <v>4.059</v>
      </c>
      <c r="Z28" s="698">
        <v>4.061</v>
      </c>
      <c r="AA28" s="698">
        <v>4.063</v>
      </c>
      <c r="AB28" s="698">
        <v>4.162</v>
      </c>
      <c r="AC28" s="701">
        <f t="shared" si="2"/>
        <v>2.436623184838794</v>
      </c>
      <c r="AD28" s="694" t="s">
        <v>81</v>
      </c>
    </row>
    <row r="29" spans="2:30" ht="12.75" customHeight="1">
      <c r="B29" s="663" t="s">
        <v>80</v>
      </c>
      <c r="C29" s="682" t="s">
        <v>99</v>
      </c>
      <c r="D29" s="682" t="s">
        <v>99</v>
      </c>
      <c r="E29" s="674" t="s">
        <v>99</v>
      </c>
      <c r="F29" s="674" t="s">
        <v>99</v>
      </c>
      <c r="G29" s="674" t="s">
        <v>99</v>
      </c>
      <c r="H29" s="674" t="s">
        <v>99</v>
      </c>
      <c r="I29" s="674" t="s">
        <v>99</v>
      </c>
      <c r="J29" s="675">
        <v>5</v>
      </c>
      <c r="K29" s="675">
        <v>4.9</v>
      </c>
      <c r="L29" s="675">
        <v>4.85</v>
      </c>
      <c r="M29" s="675">
        <v>4.8</v>
      </c>
      <c r="N29" s="675">
        <v>4.75</v>
      </c>
      <c r="O29" s="675">
        <v>4.7</v>
      </c>
      <c r="P29" s="675">
        <v>4.65</v>
      </c>
      <c r="Q29" s="675">
        <v>4.62</v>
      </c>
      <c r="R29" s="675">
        <v>4.5</v>
      </c>
      <c r="S29" s="675">
        <v>4.5</v>
      </c>
      <c r="T29" s="675">
        <v>4.4</v>
      </c>
      <c r="U29" s="675">
        <v>4.45</v>
      </c>
      <c r="V29" s="675">
        <v>4.6</v>
      </c>
      <c r="W29" s="675">
        <v>4.6</v>
      </c>
      <c r="X29" s="675">
        <v>4.32</v>
      </c>
      <c r="Y29" s="675">
        <f>4.34</f>
        <v>4.34</v>
      </c>
      <c r="Z29" s="675">
        <v>4.403712781401456</v>
      </c>
      <c r="AA29" s="675">
        <v>4.392245206824666</v>
      </c>
      <c r="AB29" s="675">
        <f>AA29*(3620.9+113.1)/(3867.5+132.5)</f>
        <v>4.100160900570825</v>
      </c>
      <c r="AC29" s="688">
        <f t="shared" si="2"/>
        <v>-6.650000000000006</v>
      </c>
      <c r="AD29" s="663" t="s">
        <v>80</v>
      </c>
    </row>
    <row r="30" spans="1:30" s="679" customFormat="1" ht="12.75" customHeight="1">
      <c r="A30" s="671"/>
      <c r="B30" s="694" t="s">
        <v>92</v>
      </c>
      <c r="C30" s="695">
        <v>0.93</v>
      </c>
      <c r="D30" s="695">
        <v>0.74</v>
      </c>
      <c r="E30" s="698">
        <v>0.67</v>
      </c>
      <c r="F30" s="698">
        <v>0.65</v>
      </c>
      <c r="G30" s="698">
        <v>0.63</v>
      </c>
      <c r="H30" s="698">
        <v>0.61</v>
      </c>
      <c r="I30" s="698">
        <v>0.58</v>
      </c>
      <c r="J30" s="698">
        <v>0.53</v>
      </c>
      <c r="K30" s="698">
        <v>0.54</v>
      </c>
      <c r="L30" s="698">
        <v>0.5</v>
      </c>
      <c r="M30" s="698">
        <v>0.5</v>
      </c>
      <c r="N30" s="698">
        <v>0.5</v>
      </c>
      <c r="O30" s="698">
        <v>0.53</v>
      </c>
      <c r="P30" s="698">
        <v>0.545</v>
      </c>
      <c r="Q30" s="698">
        <v>0.55</v>
      </c>
      <c r="R30" s="698">
        <v>0.77</v>
      </c>
      <c r="S30" s="698">
        <v>0.847</v>
      </c>
      <c r="T30" s="698">
        <f>0.80121+0.046506</f>
        <v>0.847716</v>
      </c>
      <c r="U30" s="698">
        <f>0.785327+0.202473</f>
        <v>0.9878</v>
      </c>
      <c r="V30" s="698">
        <f>0.803969+0.245921</f>
        <v>1.04989</v>
      </c>
      <c r="W30" s="698">
        <f>0.8354+0.259361</f>
        <v>1.094761</v>
      </c>
      <c r="X30" s="698">
        <f>0.829067+0.261117</f>
        <v>1.090184</v>
      </c>
      <c r="Y30" s="698">
        <f>0.866169+0.267064</f>
        <v>1.133233</v>
      </c>
      <c r="Z30" s="698">
        <v>1.148</v>
      </c>
      <c r="AA30" s="698">
        <f>0.745589+0.28248</f>
        <v>1.028069</v>
      </c>
      <c r="AB30" s="698">
        <f>0.655705+0.285591</f>
        <v>0.9412959999999999</v>
      </c>
      <c r="AC30" s="701">
        <f t="shared" si="2"/>
        <v>-8.440386783377392</v>
      </c>
      <c r="AD30" s="694" t="s">
        <v>92</v>
      </c>
    </row>
    <row r="31" spans="2:30" ht="12.75" customHeight="1">
      <c r="B31" s="663" t="s">
        <v>102</v>
      </c>
      <c r="C31" s="682"/>
      <c r="D31" s="682"/>
      <c r="E31" s="674"/>
      <c r="F31" s="674"/>
      <c r="G31" s="674"/>
      <c r="H31" s="674"/>
      <c r="I31" s="674"/>
      <c r="J31" s="675">
        <v>6</v>
      </c>
      <c r="K31" s="675">
        <v>6</v>
      </c>
      <c r="L31" s="675">
        <v>6</v>
      </c>
      <c r="M31" s="675">
        <v>6</v>
      </c>
      <c r="N31" s="675">
        <v>6</v>
      </c>
      <c r="O31" s="675">
        <v>6</v>
      </c>
      <c r="P31" s="675">
        <v>6</v>
      </c>
      <c r="Q31" s="675">
        <v>6</v>
      </c>
      <c r="R31" s="674">
        <v>5.777215</v>
      </c>
      <c r="S31" s="674">
        <v>6.192045</v>
      </c>
      <c r="T31" s="674">
        <v>6.596908000000001</v>
      </c>
      <c r="U31" s="675">
        <v>6.8</v>
      </c>
      <c r="V31" s="675">
        <v>6.9</v>
      </c>
      <c r="W31" s="675">
        <v>7</v>
      </c>
      <c r="X31" s="675">
        <v>7.047</v>
      </c>
      <c r="Y31" s="675">
        <v>7.138710097776035</v>
      </c>
      <c r="Z31" s="675">
        <f>AVERAGE(W31:Y31)</f>
        <v>7.061903365925345</v>
      </c>
      <c r="AA31" s="675">
        <v>7.548372713565322</v>
      </c>
      <c r="AB31" s="675">
        <v>7.751718100556632</v>
      </c>
      <c r="AC31" s="688">
        <f t="shared" si="2"/>
        <v>2.6938970120788213</v>
      </c>
      <c r="AD31" s="663" t="s">
        <v>102</v>
      </c>
    </row>
    <row r="32" spans="2:30" ht="12.75" customHeight="1">
      <c r="B32" s="694" t="s">
        <v>83</v>
      </c>
      <c r="C32" s="797" t="s">
        <v>146</v>
      </c>
      <c r="D32" s="797" t="s">
        <v>146</v>
      </c>
      <c r="E32" s="798" t="s">
        <v>146</v>
      </c>
      <c r="F32" s="798" t="s">
        <v>146</v>
      </c>
      <c r="G32" s="798" t="s">
        <v>146</v>
      </c>
      <c r="H32" s="798" t="s">
        <v>146</v>
      </c>
      <c r="I32" s="798" t="s">
        <v>146</v>
      </c>
      <c r="J32" s="798" t="s">
        <v>146</v>
      </c>
      <c r="K32" s="798" t="s">
        <v>146</v>
      </c>
      <c r="L32" s="798" t="s">
        <v>146</v>
      </c>
      <c r="M32" s="798" t="s">
        <v>146</v>
      </c>
      <c r="N32" s="798" t="s">
        <v>146</v>
      </c>
      <c r="O32" s="798" t="s">
        <v>146</v>
      </c>
      <c r="P32" s="798" t="s">
        <v>146</v>
      </c>
      <c r="Q32" s="798" t="s">
        <v>146</v>
      </c>
      <c r="R32" s="798" t="s">
        <v>146</v>
      </c>
      <c r="S32" s="798" t="s">
        <v>146</v>
      </c>
      <c r="T32" s="798" t="s">
        <v>146</v>
      </c>
      <c r="U32" s="798" t="s">
        <v>146</v>
      </c>
      <c r="V32" s="798" t="s">
        <v>146</v>
      </c>
      <c r="W32" s="798" t="s">
        <v>146</v>
      </c>
      <c r="X32" s="798" t="s">
        <v>146</v>
      </c>
      <c r="Y32" s="798" t="s">
        <v>146</v>
      </c>
      <c r="Z32" s="798" t="s">
        <v>146</v>
      </c>
      <c r="AA32" s="798" t="s">
        <v>146</v>
      </c>
      <c r="AB32" s="798" t="s">
        <v>146</v>
      </c>
      <c r="AC32" s="799" t="s">
        <v>146</v>
      </c>
      <c r="AD32" s="694" t="s">
        <v>83</v>
      </c>
    </row>
    <row r="33" spans="2:30" ht="12.75" customHeight="1">
      <c r="B33" s="663" t="s">
        <v>85</v>
      </c>
      <c r="C33" s="682"/>
      <c r="D33" s="682"/>
      <c r="E33" s="674"/>
      <c r="F33" s="674"/>
      <c r="G33" s="674"/>
      <c r="H33" s="674" t="s">
        <v>99</v>
      </c>
      <c r="I33" s="674" t="s">
        <v>99</v>
      </c>
      <c r="J33" s="675">
        <f>0.14623*3</f>
        <v>0.43869</v>
      </c>
      <c r="K33" s="675">
        <v>0.42</v>
      </c>
      <c r="L33" s="675">
        <v>0.4</v>
      </c>
      <c r="M33" s="675">
        <f>0.126488*3</f>
        <v>0.37946399999999997</v>
      </c>
      <c r="N33" s="675">
        <f>0.117714*3</f>
        <v>0.353142</v>
      </c>
      <c r="O33" s="675">
        <v>0.35</v>
      </c>
      <c r="P33" s="675">
        <v>0.35736278</v>
      </c>
      <c r="Q33" s="675">
        <v>0.35821163</v>
      </c>
      <c r="R33" s="675">
        <v>0.36700559999999993</v>
      </c>
      <c r="S33" s="675">
        <v>0.36223677000000004</v>
      </c>
      <c r="T33" s="675">
        <v>0.38621753999999997</v>
      </c>
      <c r="U33" s="675">
        <v>0.384426</v>
      </c>
      <c r="V33" s="675">
        <f>0.109705*3.6</f>
        <v>0.394938</v>
      </c>
      <c r="W33" s="675">
        <f>0.10708*3.43</f>
        <v>0.3672844</v>
      </c>
      <c r="X33" s="675">
        <v>0.2925259</v>
      </c>
      <c r="Y33" s="675">
        <v>0.2834431</v>
      </c>
      <c r="Z33" s="675">
        <f>2.81*0.109182</f>
        <v>0.30680142</v>
      </c>
      <c r="AA33" s="675">
        <f>0.098788*2.93</f>
        <v>0.28944884000000004</v>
      </c>
      <c r="AB33" s="675">
        <f>3.1*88.841/1000</f>
        <v>0.2754071</v>
      </c>
      <c r="AC33" s="688">
        <f t="shared" si="2"/>
        <v>-4.851199265472971</v>
      </c>
      <c r="AD33" s="663" t="s">
        <v>85</v>
      </c>
    </row>
    <row r="34" spans="2:30" ht="12.75" customHeight="1">
      <c r="B34" s="694" t="s">
        <v>87</v>
      </c>
      <c r="C34" s="695">
        <v>0.1</v>
      </c>
      <c r="D34" s="695">
        <v>0.13</v>
      </c>
      <c r="E34" s="698">
        <v>0.35</v>
      </c>
      <c r="F34" s="698">
        <v>0.34</v>
      </c>
      <c r="G34" s="698">
        <v>0.345</v>
      </c>
      <c r="H34" s="698">
        <f>0.0993+0.2581</f>
        <v>0.3574</v>
      </c>
      <c r="I34" s="698">
        <v>0.37</v>
      </c>
      <c r="J34" s="698">
        <f>0.1091+0.2785</f>
        <v>0.38760000000000006</v>
      </c>
      <c r="K34" s="698">
        <v>0.4</v>
      </c>
      <c r="L34" s="698">
        <f>0.1162+0.3006</f>
        <v>0.41679999999999995</v>
      </c>
      <c r="M34" s="698">
        <v>0.439</v>
      </c>
      <c r="N34" s="698">
        <f>0.1205+0.3598</f>
        <v>0.4803</v>
      </c>
      <c r="O34" s="698">
        <f>0.118+0.379</f>
        <v>0.497</v>
      </c>
      <c r="P34" s="698">
        <f>0.1193+0.3853</f>
        <v>0.5045999999999999</v>
      </c>
      <c r="Q34" s="698">
        <f>0.1167+0.4008</f>
        <v>0.5175</v>
      </c>
      <c r="R34" s="698">
        <f>0.1182+0.4041</f>
        <v>0.5223</v>
      </c>
      <c r="S34" s="698">
        <f>0.119+0.404</f>
        <v>0.523</v>
      </c>
      <c r="T34" s="698">
        <f>0.117+0.409</f>
        <v>0.526</v>
      </c>
      <c r="U34" s="698">
        <f>0.11+0.414</f>
        <v>0.524</v>
      </c>
      <c r="V34" s="698">
        <f>0.11+0.41</f>
        <v>0.52</v>
      </c>
      <c r="W34" s="698">
        <f>0.112+0.42</f>
        <v>0.532</v>
      </c>
      <c r="X34" s="698">
        <v>0.532</v>
      </c>
      <c r="Y34" s="698">
        <f>0.113+0.417</f>
        <v>0.53</v>
      </c>
      <c r="Z34" s="698">
        <f>0.397+0.118</f>
        <v>0.515</v>
      </c>
      <c r="AA34" s="698">
        <f>0.401+0.125</f>
        <v>0.526</v>
      </c>
      <c r="AB34" s="801">
        <f>0.124+0.401</f>
        <v>0.525</v>
      </c>
      <c r="AC34" s="701">
        <f t="shared" si="2"/>
        <v>-0.19011406844106205</v>
      </c>
      <c r="AD34" s="694" t="s">
        <v>87</v>
      </c>
    </row>
    <row r="35" spans="2:30" ht="12.75" customHeight="1">
      <c r="B35" s="663" t="s">
        <v>88</v>
      </c>
      <c r="C35" s="682">
        <v>1.44</v>
      </c>
      <c r="D35" s="682">
        <v>1.97</v>
      </c>
      <c r="E35" s="674">
        <v>2.01</v>
      </c>
      <c r="F35" s="674">
        <v>1.93</v>
      </c>
      <c r="G35" s="674">
        <v>1.91</v>
      </c>
      <c r="H35" s="674">
        <v>1.91</v>
      </c>
      <c r="I35" s="674">
        <v>1.89</v>
      </c>
      <c r="J35" s="674">
        <v>1.94</v>
      </c>
      <c r="K35" s="683">
        <v>1.98</v>
      </c>
      <c r="L35" s="674">
        <f>1.496+0.375</f>
        <v>1.871</v>
      </c>
      <c r="M35" s="674">
        <f>1.505+0.374</f>
        <v>1.879</v>
      </c>
      <c r="N35" s="674">
        <f>1.526+0.38</f>
        <v>1.9060000000000001</v>
      </c>
      <c r="O35" s="674">
        <f>1.588+0.394</f>
        <v>1.9820000000000002</v>
      </c>
      <c r="P35" s="674">
        <f>1.581+0.41</f>
        <v>1.9909999999999999</v>
      </c>
      <c r="Q35" s="674">
        <f>1.578+0.415</f>
        <v>1.993</v>
      </c>
      <c r="R35" s="674">
        <f>1.558+0.436</f>
        <v>1.994</v>
      </c>
      <c r="S35" s="674">
        <f>1.556+0.462</f>
        <v>2.0180000000000002</v>
      </c>
      <c r="T35" s="674">
        <f>1.541+0.473</f>
        <v>2.014</v>
      </c>
      <c r="U35" s="674">
        <f>1.657+0.482</f>
        <v>2.1390000000000002</v>
      </c>
      <c r="V35" s="674">
        <f>1.69+0.514</f>
        <v>2.2039999999999997</v>
      </c>
      <c r="W35" s="674">
        <f>1.715+0.524</f>
        <v>2.239</v>
      </c>
      <c r="X35" s="674">
        <f>1.715+0.524</f>
        <v>2.239</v>
      </c>
      <c r="Y35" s="674">
        <f>1.731+0.549</f>
        <v>2.2800000000000002</v>
      </c>
      <c r="Z35" s="674">
        <f>1.725+0.615</f>
        <v>2.34</v>
      </c>
      <c r="AA35" s="674">
        <f>1.796+0.576</f>
        <v>2.372</v>
      </c>
      <c r="AB35" s="674">
        <v>2.467</v>
      </c>
      <c r="AC35" s="684">
        <f t="shared" si="2"/>
        <v>4.005059021922435</v>
      </c>
      <c r="AD35" s="663" t="s">
        <v>88</v>
      </c>
    </row>
    <row r="36" spans="2:30" ht="12.75" customHeight="1">
      <c r="B36" s="694" t="s">
        <v>13</v>
      </c>
      <c r="C36" s="695">
        <v>5.2</v>
      </c>
      <c r="D36" s="695">
        <v>4.3</v>
      </c>
      <c r="E36" s="698">
        <v>6.5</v>
      </c>
      <c r="F36" s="698">
        <v>6.24</v>
      </c>
      <c r="G36" s="698">
        <v>6.15</v>
      </c>
      <c r="H36" s="698">
        <v>6.24</v>
      </c>
      <c r="I36" s="698">
        <v>6.507</v>
      </c>
      <c r="J36" s="698">
        <v>6.811</v>
      </c>
      <c r="K36" s="698">
        <v>6.648</v>
      </c>
      <c r="L36" s="698">
        <v>6.998</v>
      </c>
      <c r="M36" s="698">
        <f>6.716+0.632</f>
        <v>7.348</v>
      </c>
      <c r="N36" s="698">
        <f>7.171+0.714</f>
        <v>7.885</v>
      </c>
      <c r="O36" s="698">
        <f>7.47+0.869</f>
        <v>8.339</v>
      </c>
      <c r="P36" s="698">
        <f>7.451+0.895</f>
        <v>8.346</v>
      </c>
      <c r="Q36" s="698">
        <f>7.367+0.961</f>
        <v>8.328</v>
      </c>
      <c r="R36" s="698">
        <f>7.34+0.96</f>
        <v>8.3</v>
      </c>
      <c r="S36" s="698">
        <f>7.606+1.079</f>
        <v>8.685</v>
      </c>
      <c r="T36" s="698">
        <f>7.586+1.1</f>
        <v>8.686</v>
      </c>
      <c r="U36" s="698">
        <f>7.947+1.177</f>
        <v>9.124</v>
      </c>
      <c r="V36" s="698">
        <f>8.352+1.1244</f>
        <v>9.4764</v>
      </c>
      <c r="W36" s="698">
        <f>8.646+1.251</f>
        <v>9.897</v>
      </c>
      <c r="X36" s="698">
        <f>8.457+1.271</f>
        <v>9.728000000000002</v>
      </c>
      <c r="Y36" s="698">
        <f>8.875+1.31</f>
        <v>10.185</v>
      </c>
      <c r="Z36" s="698">
        <f>9.519+0.8249*1.60934+0.0412</f>
        <v>10.887744566</v>
      </c>
      <c r="AA36" s="698">
        <f>10.099+0.0402+0.8822*1.609</f>
        <v>11.558659800000001</v>
      </c>
      <c r="AB36" s="802">
        <f>10.422+0.0406+1.4845</f>
        <v>11.9471</v>
      </c>
      <c r="AC36" s="701">
        <f t="shared" si="2"/>
        <v>3.3605989510998597</v>
      </c>
      <c r="AD36" s="694" t="s">
        <v>13</v>
      </c>
    </row>
    <row r="37" spans="2:30" ht="12.75" customHeight="1">
      <c r="B37" s="713" t="s">
        <v>310</v>
      </c>
      <c r="C37" s="803" t="s">
        <v>146</v>
      </c>
      <c r="D37" s="803" t="s">
        <v>146</v>
      </c>
      <c r="E37" s="804" t="s">
        <v>146</v>
      </c>
      <c r="F37" s="804" t="s">
        <v>146</v>
      </c>
      <c r="G37" s="804" t="s">
        <v>146</v>
      </c>
      <c r="H37" s="804" t="s">
        <v>146</v>
      </c>
      <c r="I37" s="804" t="s">
        <v>146</v>
      </c>
      <c r="J37" s="804" t="s">
        <v>146</v>
      </c>
      <c r="K37" s="804" t="s">
        <v>146</v>
      </c>
      <c r="L37" s="804" t="s">
        <v>146</v>
      </c>
      <c r="M37" s="804" t="s">
        <v>146</v>
      </c>
      <c r="N37" s="804" t="s">
        <v>146</v>
      </c>
      <c r="O37" s="804" t="s">
        <v>146</v>
      </c>
      <c r="P37" s="804" t="s">
        <v>146</v>
      </c>
      <c r="Q37" s="804" t="s">
        <v>146</v>
      </c>
      <c r="R37" s="804" t="s">
        <v>146</v>
      </c>
      <c r="S37" s="804" t="s">
        <v>146</v>
      </c>
      <c r="T37" s="804" t="s">
        <v>146</v>
      </c>
      <c r="U37" s="804" t="s">
        <v>146</v>
      </c>
      <c r="V37" s="804" t="s">
        <v>146</v>
      </c>
      <c r="W37" s="804" t="s">
        <v>146</v>
      </c>
      <c r="X37" s="804" t="s">
        <v>146</v>
      </c>
      <c r="Y37" s="804" t="s">
        <v>146</v>
      </c>
      <c r="Z37" s="804" t="s">
        <v>146</v>
      </c>
      <c r="AA37" s="804" t="s">
        <v>146</v>
      </c>
      <c r="AB37" s="804" t="s">
        <v>146</v>
      </c>
      <c r="AC37" s="805" t="s">
        <v>146</v>
      </c>
      <c r="AD37" s="713" t="s">
        <v>310</v>
      </c>
    </row>
    <row r="38" spans="2:30" ht="12.75" customHeight="1">
      <c r="B38" s="694" t="s">
        <v>244</v>
      </c>
      <c r="C38" s="797" t="s">
        <v>146</v>
      </c>
      <c r="D38" s="797" t="s">
        <v>146</v>
      </c>
      <c r="E38" s="798" t="s">
        <v>146</v>
      </c>
      <c r="F38" s="798" t="s">
        <v>146</v>
      </c>
      <c r="G38" s="798" t="s">
        <v>146</v>
      </c>
      <c r="H38" s="806" t="s">
        <v>146</v>
      </c>
      <c r="I38" s="806" t="s">
        <v>146</v>
      </c>
      <c r="J38" s="806" t="s">
        <v>146</v>
      </c>
      <c r="K38" s="806" t="s">
        <v>146</v>
      </c>
      <c r="L38" s="806" t="s">
        <v>146</v>
      </c>
      <c r="M38" s="806" t="s">
        <v>146</v>
      </c>
      <c r="N38" s="806" t="s">
        <v>146</v>
      </c>
      <c r="O38" s="806" t="s">
        <v>146</v>
      </c>
      <c r="P38" s="806" t="s">
        <v>146</v>
      </c>
      <c r="Q38" s="806" t="s">
        <v>146</v>
      </c>
      <c r="R38" s="806" t="s">
        <v>146</v>
      </c>
      <c r="S38" s="806" t="s">
        <v>146</v>
      </c>
      <c r="T38" s="806" t="s">
        <v>146</v>
      </c>
      <c r="U38" s="806" t="s">
        <v>146</v>
      </c>
      <c r="V38" s="806" t="s">
        <v>146</v>
      </c>
      <c r="W38" s="806" t="s">
        <v>146</v>
      </c>
      <c r="X38" s="806" t="s">
        <v>146</v>
      </c>
      <c r="Y38" s="806" t="s">
        <v>146</v>
      </c>
      <c r="Z38" s="806" t="s">
        <v>146</v>
      </c>
      <c r="AA38" s="806" t="s">
        <v>146</v>
      </c>
      <c r="AB38" s="806" t="s">
        <v>146</v>
      </c>
      <c r="AC38" s="800" t="s">
        <v>146</v>
      </c>
      <c r="AD38" s="694" t="s">
        <v>244</v>
      </c>
    </row>
    <row r="39" spans="1:30" s="679" customFormat="1" ht="12.75" customHeight="1">
      <c r="A39" s="671"/>
      <c r="B39" s="663" t="s">
        <v>149</v>
      </c>
      <c r="C39" s="793" t="s">
        <v>146</v>
      </c>
      <c r="D39" s="793" t="s">
        <v>146</v>
      </c>
      <c r="E39" s="794" t="s">
        <v>146</v>
      </c>
      <c r="F39" s="794" t="s">
        <v>146</v>
      </c>
      <c r="G39" s="794" t="s">
        <v>146</v>
      </c>
      <c r="H39" s="794" t="s">
        <v>146</v>
      </c>
      <c r="I39" s="794" t="s">
        <v>146</v>
      </c>
      <c r="J39" s="794" t="s">
        <v>146</v>
      </c>
      <c r="K39" s="794" t="s">
        <v>146</v>
      </c>
      <c r="L39" s="794" t="s">
        <v>146</v>
      </c>
      <c r="M39" s="794" t="s">
        <v>146</v>
      </c>
      <c r="N39" s="794" t="s">
        <v>146</v>
      </c>
      <c r="O39" s="794" t="s">
        <v>146</v>
      </c>
      <c r="P39" s="794" t="s">
        <v>146</v>
      </c>
      <c r="Q39" s="794" t="s">
        <v>146</v>
      </c>
      <c r="R39" s="794" t="s">
        <v>146</v>
      </c>
      <c r="S39" s="794" t="s">
        <v>146</v>
      </c>
      <c r="T39" s="794" t="s">
        <v>146</v>
      </c>
      <c r="U39" s="794" t="s">
        <v>146</v>
      </c>
      <c r="V39" s="794" t="s">
        <v>146</v>
      </c>
      <c r="W39" s="794" t="s">
        <v>146</v>
      </c>
      <c r="X39" s="794" t="s">
        <v>146</v>
      </c>
      <c r="Y39" s="794" t="s">
        <v>146</v>
      </c>
      <c r="Z39" s="794" t="s">
        <v>146</v>
      </c>
      <c r="AA39" s="794" t="s">
        <v>146</v>
      </c>
      <c r="AB39" s="794" t="s">
        <v>146</v>
      </c>
      <c r="AC39" s="795" t="s">
        <v>146</v>
      </c>
      <c r="AD39" s="663" t="s">
        <v>149</v>
      </c>
    </row>
    <row r="40" spans="1:30" s="679" customFormat="1" ht="12.75" customHeight="1">
      <c r="A40" s="671"/>
      <c r="B40" s="694" t="s">
        <v>245</v>
      </c>
      <c r="C40" s="797"/>
      <c r="D40" s="797"/>
      <c r="E40" s="798"/>
      <c r="F40" s="798"/>
      <c r="G40" s="798"/>
      <c r="H40" s="798"/>
      <c r="I40" s="798"/>
      <c r="J40" s="798"/>
      <c r="K40" s="798"/>
      <c r="L40" s="798"/>
      <c r="M40" s="798"/>
      <c r="N40" s="798"/>
      <c r="O40" s="798"/>
      <c r="P40" s="798"/>
      <c r="Q40" s="798"/>
      <c r="R40" s="798"/>
      <c r="S40" s="798"/>
      <c r="T40" s="798"/>
      <c r="U40" s="798"/>
      <c r="V40" s="798"/>
      <c r="W40" s="806"/>
      <c r="X40" s="806">
        <v>0.08327074005794054</v>
      </c>
      <c r="Y40" s="806">
        <v>0.09310094212651426</v>
      </c>
      <c r="Z40" s="806">
        <v>0.08863969823100945</v>
      </c>
      <c r="AA40" s="806">
        <v>0.08748077922077936</v>
      </c>
      <c r="AB40" s="806">
        <v>0.091007125239792</v>
      </c>
      <c r="AC40" s="800">
        <f t="shared" si="2"/>
        <v>4.030995208802409</v>
      </c>
      <c r="AD40" s="694" t="s">
        <v>245</v>
      </c>
    </row>
    <row r="41" spans="2:30" ht="12.75" customHeight="1">
      <c r="B41" s="717" t="s">
        <v>150</v>
      </c>
      <c r="C41" s="682"/>
      <c r="D41" s="682"/>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807"/>
      <c r="AD41" s="717" t="s">
        <v>150</v>
      </c>
    </row>
    <row r="42" spans="1:30" s="679" customFormat="1" ht="12.75" customHeight="1">
      <c r="A42" s="671"/>
      <c r="B42" s="694" t="s">
        <v>151</v>
      </c>
      <c r="C42" s="808" t="s">
        <v>146</v>
      </c>
      <c r="D42" s="808" t="s">
        <v>146</v>
      </c>
      <c r="E42" s="809" t="s">
        <v>146</v>
      </c>
      <c r="F42" s="809" t="s">
        <v>146</v>
      </c>
      <c r="G42" s="809" t="s">
        <v>146</v>
      </c>
      <c r="H42" s="809" t="s">
        <v>146</v>
      </c>
      <c r="I42" s="809" t="s">
        <v>146</v>
      </c>
      <c r="J42" s="809" t="s">
        <v>146</v>
      </c>
      <c r="K42" s="809" t="s">
        <v>146</v>
      </c>
      <c r="L42" s="809" t="s">
        <v>146</v>
      </c>
      <c r="M42" s="809" t="s">
        <v>146</v>
      </c>
      <c r="N42" s="809" t="s">
        <v>146</v>
      </c>
      <c r="O42" s="809" t="s">
        <v>146</v>
      </c>
      <c r="P42" s="809" t="s">
        <v>146</v>
      </c>
      <c r="Q42" s="809" t="s">
        <v>146</v>
      </c>
      <c r="R42" s="809" t="s">
        <v>146</v>
      </c>
      <c r="S42" s="809" t="s">
        <v>146</v>
      </c>
      <c r="T42" s="809" t="s">
        <v>146</v>
      </c>
      <c r="U42" s="809" t="s">
        <v>146</v>
      </c>
      <c r="V42" s="809" t="s">
        <v>146</v>
      </c>
      <c r="W42" s="809" t="s">
        <v>146</v>
      </c>
      <c r="X42" s="809" t="s">
        <v>146</v>
      </c>
      <c r="Y42" s="809" t="s">
        <v>146</v>
      </c>
      <c r="Z42" s="809" t="s">
        <v>146</v>
      </c>
      <c r="AA42" s="809" t="s">
        <v>146</v>
      </c>
      <c r="AB42" s="809" t="s">
        <v>146</v>
      </c>
      <c r="AC42" s="810"/>
      <c r="AD42" s="694" t="s">
        <v>151</v>
      </c>
    </row>
    <row r="43" spans="2:30" ht="12.75" customHeight="1">
      <c r="B43" s="663" t="s">
        <v>152</v>
      </c>
      <c r="C43" s="682">
        <v>0.428</v>
      </c>
      <c r="D43" s="682">
        <v>0.501</v>
      </c>
      <c r="E43" s="674">
        <v>0.419</v>
      </c>
      <c r="F43" s="683">
        <v>0.42</v>
      </c>
      <c r="G43" s="674">
        <v>0.349</v>
      </c>
      <c r="H43" s="674">
        <v>0.37</v>
      </c>
      <c r="I43" s="674">
        <v>0.375</v>
      </c>
      <c r="J43" s="674">
        <v>0.381</v>
      </c>
      <c r="K43" s="674">
        <v>0.419</v>
      </c>
      <c r="L43" s="674">
        <v>0.427</v>
      </c>
      <c r="M43" s="674">
        <v>0.469</v>
      </c>
      <c r="N43" s="674">
        <v>0.507</v>
      </c>
      <c r="O43" s="674">
        <v>0.496</v>
      </c>
      <c r="P43" s="674">
        <v>0.508</v>
      </c>
      <c r="Q43" s="674">
        <v>0.498</v>
      </c>
      <c r="R43" s="674">
        <v>0.476</v>
      </c>
      <c r="S43" s="674">
        <v>0.458</v>
      </c>
      <c r="T43" s="674">
        <v>0.518</v>
      </c>
      <c r="U43" s="674">
        <v>0.508</v>
      </c>
      <c r="V43" s="674">
        <v>0.535</v>
      </c>
      <c r="W43" s="674">
        <v>0.572</v>
      </c>
      <c r="X43" s="674">
        <v>0.588</v>
      </c>
      <c r="Y43" s="674">
        <v>0.62</v>
      </c>
      <c r="Z43" s="674">
        <v>0.631</v>
      </c>
      <c r="AA43" s="674">
        <v>0.660384</v>
      </c>
      <c r="AB43" s="811">
        <v>0.728919</v>
      </c>
      <c r="AC43" s="665">
        <f t="shared" si="2"/>
        <v>10.378052769297867</v>
      </c>
      <c r="AD43" s="663" t="s">
        <v>152</v>
      </c>
    </row>
    <row r="44" spans="1:30" s="679" customFormat="1" ht="12.75" customHeight="1">
      <c r="A44" s="671"/>
      <c r="B44" s="726" t="s">
        <v>153</v>
      </c>
      <c r="C44" s="727"/>
      <c r="D44" s="727"/>
      <c r="E44" s="711"/>
      <c r="F44" s="711"/>
      <c r="G44" s="711"/>
      <c r="H44" s="711"/>
      <c r="I44" s="711"/>
      <c r="J44" s="711">
        <v>1.5002</v>
      </c>
      <c r="K44" s="711">
        <v>1.5463</v>
      </c>
      <c r="L44" s="711">
        <v>1.5072</v>
      </c>
      <c r="M44" s="711">
        <v>1.3951</v>
      </c>
      <c r="N44" s="711">
        <v>1.403</v>
      </c>
      <c r="O44" s="711">
        <v>1.403</v>
      </c>
      <c r="P44" s="711">
        <v>1.4358</v>
      </c>
      <c r="Q44" s="711">
        <v>1.4478</v>
      </c>
      <c r="R44" s="711">
        <v>1.4394</v>
      </c>
      <c r="S44" s="712">
        <v>1.4695</v>
      </c>
      <c r="T44" s="711">
        <v>0.7815</v>
      </c>
      <c r="U44" s="711">
        <v>0.7864</v>
      </c>
      <c r="V44" s="711">
        <v>0.8226</v>
      </c>
      <c r="W44" s="711">
        <v>0.9031</v>
      </c>
      <c r="X44" s="711">
        <v>0.9346</v>
      </c>
      <c r="Y44" s="711">
        <v>0.9782</v>
      </c>
      <c r="Z44" s="711">
        <v>1.0706</v>
      </c>
      <c r="AA44" s="711">
        <v>1.1303</v>
      </c>
      <c r="AB44" s="711">
        <v>1.12</v>
      </c>
      <c r="AC44" s="728">
        <f t="shared" si="2"/>
        <v>-0.9112624966822978</v>
      </c>
      <c r="AD44" s="726" t="s">
        <v>153</v>
      </c>
    </row>
    <row r="45" spans="2:30" ht="31.5" customHeight="1">
      <c r="B45" s="1097" t="s">
        <v>184</v>
      </c>
      <c r="C45" s="1097"/>
      <c r="D45" s="1097"/>
      <c r="E45" s="1097"/>
      <c r="F45" s="1097"/>
      <c r="G45" s="1097"/>
      <c r="H45" s="1097"/>
      <c r="I45" s="1097"/>
      <c r="J45" s="1097"/>
      <c r="K45" s="1097"/>
      <c r="L45" s="1097"/>
      <c r="M45" s="1097"/>
      <c r="N45" s="1097"/>
      <c r="O45" s="1097"/>
      <c r="P45" s="1097"/>
      <c r="Q45" s="1097"/>
      <c r="R45" s="1097"/>
      <c r="S45" s="1097"/>
      <c r="T45" s="1097"/>
      <c r="U45" s="1097"/>
      <c r="V45" s="1097"/>
      <c r="W45" s="1097"/>
      <c r="X45" s="1097"/>
      <c r="Y45" s="1097"/>
      <c r="Z45" s="1097"/>
      <c r="AA45" s="1097"/>
      <c r="AB45" s="1097"/>
      <c r="AC45" s="1097"/>
      <c r="AD45" s="1097"/>
    </row>
    <row r="46" spans="2:30" ht="12.75" customHeight="1">
      <c r="B46" s="767" t="s">
        <v>185</v>
      </c>
      <c r="C46" s="812"/>
      <c r="D46" s="812"/>
      <c r="E46" s="812"/>
      <c r="F46" s="812"/>
      <c r="G46" s="812"/>
      <c r="H46" s="771"/>
      <c r="I46" s="812"/>
      <c r="J46" s="812"/>
      <c r="K46" s="812"/>
      <c r="L46" s="812"/>
      <c r="M46" s="812"/>
      <c r="N46" s="812"/>
      <c r="O46" s="812"/>
      <c r="P46" s="813"/>
      <c r="Q46" s="771"/>
      <c r="R46" s="770"/>
      <c r="S46" s="812"/>
      <c r="T46" s="812"/>
      <c r="U46" s="812"/>
      <c r="V46" s="812"/>
      <c r="W46" s="812"/>
      <c r="X46" s="812"/>
      <c r="Y46" s="812"/>
      <c r="Z46" s="812"/>
      <c r="AA46" s="812"/>
      <c r="AB46" s="812"/>
      <c r="AC46" s="771"/>
      <c r="AD46" s="812"/>
    </row>
    <row r="47" spans="2:29" ht="12.75" customHeight="1">
      <c r="B47" s="631" t="s">
        <v>186</v>
      </c>
      <c r="C47" s="631"/>
      <c r="D47" s="631"/>
      <c r="E47" s="631"/>
      <c r="F47" s="631"/>
      <c r="G47" s="631"/>
      <c r="H47" s="631"/>
      <c r="I47" s="631"/>
      <c r="J47" s="631"/>
      <c r="K47" s="631"/>
      <c r="L47" s="631"/>
      <c r="M47" s="631"/>
      <c r="N47" s="631"/>
      <c r="O47" s="631"/>
      <c r="P47" s="631"/>
      <c r="Q47" s="631"/>
      <c r="R47" s="631"/>
      <c r="S47" s="814"/>
      <c r="T47" s="814"/>
      <c r="U47" s="814"/>
      <c r="V47" s="814"/>
      <c r="W47" s="814"/>
      <c r="X47" s="814"/>
      <c r="Y47" s="814"/>
      <c r="Z47" s="814"/>
      <c r="AA47" s="814"/>
      <c r="AB47" s="814"/>
      <c r="AC47" s="814"/>
    </row>
    <row r="48" spans="2:29" ht="12.75" customHeight="1">
      <c r="B48" s="815" t="s">
        <v>187</v>
      </c>
      <c r="N48" s="816"/>
      <c r="O48" s="816"/>
      <c r="P48" s="816"/>
      <c r="Q48" s="816"/>
      <c r="R48" s="816"/>
      <c r="S48" s="816"/>
      <c r="T48" s="816"/>
      <c r="U48" s="816"/>
      <c r="V48" s="816"/>
      <c r="W48" s="816"/>
      <c r="X48" s="816"/>
      <c r="Y48" s="816"/>
      <c r="Z48" s="816"/>
      <c r="AA48" s="816"/>
      <c r="AB48" s="816"/>
      <c r="AC48" s="816"/>
    </row>
    <row r="49" spans="1:29" ht="12.75" customHeight="1">
      <c r="A49" s="628"/>
      <c r="B49" s="815" t="s">
        <v>188</v>
      </c>
      <c r="C49" s="631"/>
      <c r="D49" s="631"/>
      <c r="E49" s="631"/>
      <c r="F49" s="631"/>
      <c r="G49" s="631"/>
      <c r="H49" s="631"/>
      <c r="I49" s="631"/>
      <c r="J49" s="533"/>
      <c r="K49" s="533"/>
      <c r="L49" s="533"/>
      <c r="M49" s="533"/>
      <c r="N49" s="533"/>
      <c r="O49" s="533"/>
      <c r="P49" s="631"/>
      <c r="Q49" s="631"/>
      <c r="R49" s="631"/>
      <c r="S49" s="817"/>
      <c r="T49" s="817"/>
      <c r="U49" s="817"/>
      <c r="V49" s="817"/>
      <c r="W49" s="817"/>
      <c r="X49" s="817"/>
      <c r="Y49" s="817"/>
      <c r="Z49" s="817"/>
      <c r="AA49" s="818"/>
      <c r="AB49" s="817"/>
      <c r="AC49" s="817"/>
    </row>
    <row r="50" spans="1:29" ht="12.75" customHeight="1">
      <c r="A50" s="628"/>
      <c r="B50" s="631"/>
      <c r="V50" s="817"/>
      <c r="W50" s="817"/>
      <c r="X50" s="817"/>
      <c r="Y50" s="817"/>
      <c r="Z50" s="817"/>
      <c r="AA50" s="818"/>
      <c r="AB50" s="817"/>
      <c r="AC50" s="817"/>
    </row>
    <row r="51" spans="1:29" ht="11.25">
      <c r="A51" s="628"/>
      <c r="V51" s="817"/>
      <c r="W51" s="817"/>
      <c r="X51" s="817"/>
      <c r="Y51" s="817"/>
      <c r="Z51" s="817"/>
      <c r="AA51" s="818"/>
      <c r="AB51" s="817"/>
      <c r="AC51" s="817"/>
    </row>
    <row r="52" spans="1:26" ht="11.25">
      <c r="A52" s="628"/>
      <c r="V52" s="817"/>
      <c r="W52" s="817"/>
      <c r="X52" s="817"/>
      <c r="Y52" s="817"/>
      <c r="Z52" s="817"/>
    </row>
    <row r="53" spans="1:26" ht="11.25">
      <c r="A53" s="628"/>
      <c r="V53" s="817"/>
      <c r="W53" s="817"/>
      <c r="X53" s="817"/>
      <c r="Y53" s="817"/>
      <c r="Z53" s="817"/>
    </row>
    <row r="54" spans="1:26" ht="12.75" customHeight="1">
      <c r="A54" s="628"/>
      <c r="P54" s="1098"/>
      <c r="V54" s="817"/>
      <c r="W54" s="817"/>
      <c r="X54" s="817"/>
      <c r="Y54" s="817"/>
      <c r="Z54" s="817"/>
    </row>
    <row r="55" spans="1:26" ht="11.25">
      <c r="A55" s="628"/>
      <c r="P55" s="1098"/>
      <c r="V55" s="817"/>
      <c r="W55" s="817"/>
      <c r="X55" s="817"/>
      <c r="Y55" s="817"/>
      <c r="Z55" s="817"/>
    </row>
    <row r="56" spans="1:26" ht="11.25">
      <c r="A56" s="628"/>
      <c r="P56" s="1098"/>
      <c r="V56" s="817"/>
      <c r="W56" s="817"/>
      <c r="X56" s="817"/>
      <c r="Y56" s="817"/>
      <c r="Z56" s="817"/>
    </row>
    <row r="57" spans="1:16" ht="11.25">
      <c r="A57" s="628"/>
      <c r="P57" s="1099"/>
    </row>
    <row r="58" spans="1:16" ht="11.25">
      <c r="A58" s="628"/>
      <c r="P58" s="1099"/>
    </row>
    <row r="59" spans="1:16" ht="11.25">
      <c r="A59" s="628"/>
      <c r="P59" s="1099"/>
    </row>
    <row r="60" spans="1:16" ht="11.25">
      <c r="A60" s="628"/>
      <c r="P60" s="1099"/>
    </row>
    <row r="61" spans="1:16" ht="11.25">
      <c r="A61" s="628"/>
      <c r="P61" s="1099"/>
    </row>
    <row r="62" spans="1:16" ht="11.25">
      <c r="A62" s="628"/>
      <c r="P62" s="1099"/>
    </row>
    <row r="63" spans="1:16" ht="11.25">
      <c r="A63" s="628"/>
      <c r="P63" s="1099"/>
    </row>
    <row r="64" spans="1:16" ht="11.25">
      <c r="A64" s="628"/>
      <c r="P64" s="1099"/>
    </row>
    <row r="65" spans="1:16" ht="11.25">
      <c r="A65" s="628"/>
      <c r="P65" s="1099"/>
    </row>
  </sheetData>
  <sheetProtection/>
  <mergeCells count="4">
    <mergeCell ref="B2:AD2"/>
    <mergeCell ref="B45:AD45"/>
    <mergeCell ref="P54:P56"/>
    <mergeCell ref="P57:P6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AF52"/>
  <sheetViews>
    <sheetView zoomScalePageLayoutView="0" workbookViewId="0" topLeftCell="A1">
      <selection activeCell="A1" sqref="A1"/>
    </sheetView>
  </sheetViews>
  <sheetFormatPr defaultColWidth="9.140625" defaultRowHeight="12.75"/>
  <cols>
    <col min="1" max="1" width="2.7109375" style="628" customWidth="1"/>
    <col min="2" max="2" width="4.00390625" style="628" customWidth="1"/>
    <col min="3" max="10" width="6.7109375" style="628" customWidth="1"/>
    <col min="11" max="14" width="6.7109375" style="628" hidden="1" customWidth="1"/>
    <col min="15" max="20" width="6.7109375" style="628" customWidth="1"/>
    <col min="21" max="28" width="7.28125" style="628" customWidth="1"/>
    <col min="29" max="30" width="9.00390625" style="628" customWidth="1"/>
    <col min="31" max="31" width="6.00390625" style="628" customWidth="1"/>
    <col min="32" max="32" width="5.421875" style="628" customWidth="1"/>
    <col min="33" max="16384" width="9.140625" style="628" customWidth="1"/>
  </cols>
  <sheetData>
    <row r="1" spans="2:32" ht="14.25" customHeight="1">
      <c r="B1" s="625"/>
      <c r="C1" s="626"/>
      <c r="D1" s="626"/>
      <c r="E1" s="626"/>
      <c r="F1" s="626"/>
      <c r="G1" s="626"/>
      <c r="H1" s="626"/>
      <c r="I1" s="626"/>
      <c r="J1" s="626"/>
      <c r="K1" s="626"/>
      <c r="L1" s="626"/>
      <c r="M1" s="626"/>
      <c r="N1" s="626"/>
      <c r="O1" s="626"/>
      <c r="P1" s="626"/>
      <c r="Q1" s="819"/>
      <c r="U1" s="629"/>
      <c r="V1" s="629"/>
      <c r="W1" s="629"/>
      <c r="X1" s="629"/>
      <c r="Y1" s="629"/>
      <c r="Z1" s="629"/>
      <c r="AA1" s="629"/>
      <c r="AB1" s="629"/>
      <c r="AC1" s="629"/>
      <c r="AD1" s="629"/>
      <c r="AF1" s="629" t="s">
        <v>189</v>
      </c>
    </row>
    <row r="2" spans="2:32" s="631" customFormat="1" ht="30" customHeight="1">
      <c r="B2" s="1100" t="s">
        <v>22</v>
      </c>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row>
    <row r="3" spans="3:32" ht="8.25" customHeight="1">
      <c r="C3" s="632"/>
      <c r="D3" s="632"/>
      <c r="E3" s="632"/>
      <c r="F3" s="632"/>
      <c r="G3" s="632"/>
      <c r="H3" s="632"/>
      <c r="I3" s="632"/>
      <c r="J3" s="632"/>
      <c r="K3" s="632"/>
      <c r="L3" s="632"/>
      <c r="M3" s="632"/>
      <c r="N3" s="632"/>
      <c r="O3" s="632"/>
      <c r="P3" s="632"/>
      <c r="Q3" s="632"/>
      <c r="R3" s="632"/>
      <c r="X3" s="632" t="s">
        <v>263</v>
      </c>
      <c r="Y3" s="632"/>
      <c r="Z3" s="632"/>
      <c r="AA3" s="632"/>
      <c r="AB3" s="632"/>
      <c r="AC3" s="632"/>
      <c r="AD3" s="632"/>
      <c r="AE3" s="633"/>
      <c r="AF3" s="632"/>
    </row>
    <row r="4" spans="2:32" ht="24.75" customHeight="1">
      <c r="B4" s="634"/>
      <c r="C4" s="635">
        <v>1970</v>
      </c>
      <c r="D4" s="635">
        <v>1980</v>
      </c>
      <c r="E4" s="636">
        <v>1990</v>
      </c>
      <c r="F4" s="636">
        <v>1991</v>
      </c>
      <c r="G4" s="636">
        <v>1992</v>
      </c>
      <c r="H4" s="636">
        <v>1993</v>
      </c>
      <c r="I4" s="636">
        <v>1994</v>
      </c>
      <c r="J4" s="636">
        <v>1995</v>
      </c>
      <c r="K4" s="636">
        <v>1996</v>
      </c>
      <c r="L4" s="636">
        <v>1997</v>
      </c>
      <c r="M4" s="636">
        <v>1998</v>
      </c>
      <c r="N4" s="636">
        <v>1999</v>
      </c>
      <c r="O4" s="636">
        <v>2000</v>
      </c>
      <c r="P4" s="636">
        <v>2001</v>
      </c>
      <c r="Q4" s="636">
        <v>2002</v>
      </c>
      <c r="R4" s="636">
        <v>2003</v>
      </c>
      <c r="S4" s="636">
        <v>2004</v>
      </c>
      <c r="T4" s="636">
        <v>2005</v>
      </c>
      <c r="U4" s="636">
        <v>2006</v>
      </c>
      <c r="V4" s="636">
        <v>2007</v>
      </c>
      <c r="W4" s="636">
        <v>2008</v>
      </c>
      <c r="X4" s="636">
        <v>2009</v>
      </c>
      <c r="Y4" s="636">
        <v>2010</v>
      </c>
      <c r="Z4" s="636">
        <v>2011</v>
      </c>
      <c r="AA4" s="636">
        <v>2012</v>
      </c>
      <c r="AB4" s="636">
        <v>2013</v>
      </c>
      <c r="AC4" s="820"/>
      <c r="AD4" s="820" t="s">
        <v>265</v>
      </c>
      <c r="AE4" s="637" t="s">
        <v>314</v>
      </c>
      <c r="AF4" s="740"/>
    </row>
    <row r="5" spans="2:32" ht="9.75" customHeight="1">
      <c r="B5" s="639"/>
      <c r="C5" s="640"/>
      <c r="D5" s="640"/>
      <c r="E5" s="641"/>
      <c r="F5" s="641"/>
      <c r="G5" s="641"/>
      <c r="H5" s="641"/>
      <c r="I5" s="641"/>
      <c r="J5" s="641"/>
      <c r="K5" s="641"/>
      <c r="L5" s="641"/>
      <c r="M5" s="641"/>
      <c r="N5" s="641"/>
      <c r="O5" s="641"/>
      <c r="P5" s="641"/>
      <c r="Q5" s="641"/>
      <c r="R5" s="641"/>
      <c r="S5" s="641"/>
      <c r="T5" s="641"/>
      <c r="U5" s="641"/>
      <c r="V5" s="641"/>
      <c r="W5" s="641"/>
      <c r="X5" s="641"/>
      <c r="Y5" s="641"/>
      <c r="Z5" s="641"/>
      <c r="AA5" s="642"/>
      <c r="AB5" s="642"/>
      <c r="AC5" s="821">
        <v>2012</v>
      </c>
      <c r="AD5" s="821">
        <v>2013</v>
      </c>
      <c r="AE5" s="742" t="s">
        <v>147</v>
      </c>
      <c r="AF5" s="740"/>
    </row>
    <row r="6" spans="2:32" ht="12.75" customHeight="1">
      <c r="B6" s="644" t="s">
        <v>260</v>
      </c>
      <c r="C6" s="822">
        <f>20.5+SUM(C9:C36)</f>
        <v>330.167</v>
      </c>
      <c r="D6" s="822">
        <f>18+SUM(D9:D36)</f>
        <v>369.59900000000005</v>
      </c>
      <c r="E6" s="823">
        <f aca="true" t="shared" si="0" ref="E6:AB6">SUM(E9:E36)</f>
        <v>404.13599999999997</v>
      </c>
      <c r="F6" s="824">
        <f t="shared" si="0"/>
        <v>386.78900000000004</v>
      </c>
      <c r="G6" s="825">
        <f t="shared" si="0"/>
        <v>375.5250000000001</v>
      </c>
      <c r="H6" s="825">
        <f t="shared" si="0"/>
        <v>350.168</v>
      </c>
      <c r="I6" s="825">
        <f t="shared" si="0"/>
        <v>343.344</v>
      </c>
      <c r="J6" s="825">
        <f t="shared" si="0"/>
        <v>350.32250628200006</v>
      </c>
      <c r="K6" s="825">
        <f t="shared" si="0"/>
        <v>348.7789985870001</v>
      </c>
      <c r="L6" s="825">
        <f t="shared" si="0"/>
        <v>349.80795994899984</v>
      </c>
      <c r="M6" s="825">
        <f t="shared" si="0"/>
        <v>350.73916329400004</v>
      </c>
      <c r="N6" s="825">
        <f t="shared" si="0"/>
        <v>358.488527788</v>
      </c>
      <c r="O6" s="825">
        <f t="shared" si="0"/>
        <v>371.5097931639082</v>
      </c>
      <c r="P6" s="825">
        <f t="shared" si="0"/>
        <v>373.59488607944144</v>
      </c>
      <c r="Q6" s="825">
        <f t="shared" si="0"/>
        <v>366.1284853288046</v>
      </c>
      <c r="R6" s="825">
        <f t="shared" si="0"/>
        <v>362.43931435149534</v>
      </c>
      <c r="S6" s="825">
        <f t="shared" si="0"/>
        <v>368.792539779</v>
      </c>
      <c r="T6" s="825">
        <f t="shared" si="0"/>
        <v>377.38650492200014</v>
      </c>
      <c r="U6" s="825">
        <f t="shared" si="0"/>
        <v>389.341898616</v>
      </c>
      <c r="V6" s="825">
        <f t="shared" si="0"/>
        <v>395.59245699900004</v>
      </c>
      <c r="W6" s="825">
        <f t="shared" si="0"/>
        <v>410.697115444</v>
      </c>
      <c r="X6" s="825">
        <f t="shared" si="0"/>
        <v>403.736418338917</v>
      </c>
      <c r="Y6" s="825">
        <f t="shared" si="0"/>
        <v>405.29756774583996</v>
      </c>
      <c r="Z6" s="825">
        <f t="shared" si="0"/>
        <v>414.5229807583801</v>
      </c>
      <c r="AA6" s="825">
        <f t="shared" si="0"/>
        <v>419.575484858265</v>
      </c>
      <c r="AB6" s="825">
        <f t="shared" si="0"/>
        <v>424.2211</v>
      </c>
      <c r="AC6" s="826">
        <v>63.2571803692296</v>
      </c>
      <c r="AD6" s="827">
        <v>66.25447873015543</v>
      </c>
      <c r="AE6" s="828">
        <f aca="true" t="shared" si="1" ref="AE6:AE20">AB6/AA6*100-100</f>
        <v>1.1072179642011974</v>
      </c>
      <c r="AF6" s="644" t="s">
        <v>260</v>
      </c>
    </row>
    <row r="7" spans="1:32" ht="12.75" customHeight="1">
      <c r="A7" s="650"/>
      <c r="B7" s="651" t="s">
        <v>89</v>
      </c>
      <c r="C7" s="829">
        <f aca="true" t="shared" si="2" ref="C7:AB7">SUM(C9,C12:C13,C15:C18,C24,C27:C28,C30,C34:C36,C20)</f>
        <v>220.18699999999993</v>
      </c>
      <c r="D7" s="829">
        <f t="shared" si="2"/>
        <v>246.90300000000002</v>
      </c>
      <c r="E7" s="830">
        <f t="shared" si="2"/>
        <v>268.91700000000003</v>
      </c>
      <c r="F7" s="831">
        <f t="shared" si="2"/>
        <v>277.34700000000004</v>
      </c>
      <c r="G7" s="831">
        <f t="shared" si="2"/>
        <v>278.471</v>
      </c>
      <c r="H7" s="831">
        <f t="shared" si="2"/>
        <v>265.075</v>
      </c>
      <c r="I7" s="831">
        <f t="shared" si="2"/>
        <v>265.148</v>
      </c>
      <c r="J7" s="831">
        <f t="shared" si="2"/>
        <v>274.79150628199994</v>
      </c>
      <c r="K7" s="831">
        <f t="shared" si="2"/>
        <v>280.858998587</v>
      </c>
      <c r="L7" s="831">
        <f t="shared" si="2"/>
        <v>284.693959949</v>
      </c>
      <c r="M7" s="831">
        <f t="shared" si="2"/>
        <v>289.215163294</v>
      </c>
      <c r="N7" s="831">
        <f t="shared" si="2"/>
        <v>297.70952778799995</v>
      </c>
      <c r="O7" s="831">
        <f t="shared" si="2"/>
        <v>308.90579316390824</v>
      </c>
      <c r="P7" s="831">
        <f t="shared" si="2"/>
        <v>313.6842370794416</v>
      </c>
      <c r="Q7" s="831">
        <f t="shared" si="2"/>
        <v>311.1065353288045</v>
      </c>
      <c r="R7" s="831">
        <f t="shared" si="2"/>
        <v>309.3515003514955</v>
      </c>
      <c r="S7" s="831">
        <f t="shared" si="2"/>
        <v>317.040539779</v>
      </c>
      <c r="T7" s="831">
        <f t="shared" si="2"/>
        <v>327.070504922</v>
      </c>
      <c r="U7" s="831">
        <f t="shared" si="2"/>
        <v>338.24889861599996</v>
      </c>
      <c r="V7" s="831">
        <f t="shared" si="2"/>
        <v>344.56545699899993</v>
      </c>
      <c r="W7" s="831">
        <f t="shared" si="2"/>
        <v>360.29111544399996</v>
      </c>
      <c r="X7" s="831">
        <f t="shared" si="2"/>
        <v>356.73141833891697</v>
      </c>
      <c r="Y7" s="831">
        <f t="shared" si="2"/>
        <v>360.05356774584004</v>
      </c>
      <c r="Z7" s="831">
        <f t="shared" si="2"/>
        <v>369.47088275837996</v>
      </c>
      <c r="AA7" s="831">
        <f t="shared" si="2"/>
        <v>375.0514568582649</v>
      </c>
      <c r="AB7" s="831">
        <f t="shared" si="2"/>
        <v>380.68309999999997</v>
      </c>
      <c r="AC7" s="832"/>
      <c r="AD7" s="833"/>
      <c r="AE7" s="834">
        <f t="shared" si="1"/>
        <v>1.501565462219574</v>
      </c>
      <c r="AF7" s="651" t="s">
        <v>89</v>
      </c>
    </row>
    <row r="8" spans="1:32" ht="12.75" customHeight="1" thickBot="1">
      <c r="A8" s="650"/>
      <c r="B8" s="657" t="s">
        <v>261</v>
      </c>
      <c r="C8" s="835">
        <f>20.5+SUM(C10,C11,C14,C21,C22,C23,C25,C26,C29,C31,C32,C33,C19)</f>
        <v>109.97999999999999</v>
      </c>
      <c r="D8" s="835">
        <f>18+SUM(D10,D11,D14,D21,D22,D23,D25,D26,D29,D31,D32,D33,D19)</f>
        <v>122.696</v>
      </c>
      <c r="E8" s="836">
        <f aca="true" t="shared" si="3" ref="E8:AB8">E6-E7</f>
        <v>135.21899999999994</v>
      </c>
      <c r="F8" s="837">
        <f t="shared" si="3"/>
        <v>109.44200000000001</v>
      </c>
      <c r="G8" s="838">
        <f t="shared" si="3"/>
        <v>97.05400000000009</v>
      </c>
      <c r="H8" s="838">
        <f t="shared" si="3"/>
        <v>85.09300000000002</v>
      </c>
      <c r="I8" s="838">
        <f t="shared" si="3"/>
        <v>78.19599999999997</v>
      </c>
      <c r="J8" s="838">
        <f t="shared" si="3"/>
        <v>75.53100000000012</v>
      </c>
      <c r="K8" s="838">
        <f t="shared" si="3"/>
        <v>67.92000000000013</v>
      </c>
      <c r="L8" s="838">
        <f t="shared" si="3"/>
        <v>65.11399999999986</v>
      </c>
      <c r="M8" s="838">
        <f t="shared" si="3"/>
        <v>61.52400000000006</v>
      </c>
      <c r="N8" s="838">
        <f t="shared" si="3"/>
        <v>60.77900000000005</v>
      </c>
      <c r="O8" s="838">
        <f t="shared" si="3"/>
        <v>62.603999999999985</v>
      </c>
      <c r="P8" s="838">
        <f t="shared" si="3"/>
        <v>59.910648999999864</v>
      </c>
      <c r="Q8" s="838">
        <f t="shared" si="3"/>
        <v>55.02195000000006</v>
      </c>
      <c r="R8" s="838">
        <f t="shared" si="3"/>
        <v>53.08781399999987</v>
      </c>
      <c r="S8" s="838">
        <f t="shared" si="3"/>
        <v>51.75199999999995</v>
      </c>
      <c r="T8" s="838">
        <f t="shared" si="3"/>
        <v>50.316000000000145</v>
      </c>
      <c r="U8" s="838">
        <f t="shared" si="3"/>
        <v>51.09300000000002</v>
      </c>
      <c r="V8" s="838">
        <f t="shared" si="3"/>
        <v>51.0270000000001</v>
      </c>
      <c r="W8" s="838">
        <f t="shared" si="3"/>
        <v>50.40600000000006</v>
      </c>
      <c r="X8" s="838">
        <f t="shared" si="3"/>
        <v>47.00500000000005</v>
      </c>
      <c r="Y8" s="838">
        <f t="shared" si="3"/>
        <v>45.243999999999915</v>
      </c>
      <c r="Z8" s="838">
        <f t="shared" si="3"/>
        <v>45.052098000000115</v>
      </c>
      <c r="AA8" s="838">
        <f t="shared" si="3"/>
        <v>44.5240280000001</v>
      </c>
      <c r="AB8" s="838">
        <f t="shared" si="3"/>
        <v>43.53800000000001</v>
      </c>
      <c r="AC8" s="839"/>
      <c r="AD8" s="840"/>
      <c r="AE8" s="841">
        <f t="shared" si="1"/>
        <v>-2.214597475322961</v>
      </c>
      <c r="AF8" s="657" t="s">
        <v>261</v>
      </c>
    </row>
    <row r="9" spans="1:32" ht="12.75" customHeight="1">
      <c r="A9" s="650"/>
      <c r="B9" s="663" t="s">
        <v>60</v>
      </c>
      <c r="C9" s="842">
        <v>8.26</v>
      </c>
      <c r="D9" s="842">
        <v>6.963</v>
      </c>
      <c r="E9" s="691">
        <v>6.539</v>
      </c>
      <c r="F9" s="691">
        <v>6.77</v>
      </c>
      <c r="G9" s="691">
        <v>6.798</v>
      </c>
      <c r="H9" s="691">
        <v>6.694</v>
      </c>
      <c r="I9" s="691">
        <v>6.638</v>
      </c>
      <c r="J9" s="691">
        <v>6.757</v>
      </c>
      <c r="K9" s="691">
        <v>6.788</v>
      </c>
      <c r="L9" s="691">
        <v>6.98</v>
      </c>
      <c r="M9" s="691">
        <v>7.097</v>
      </c>
      <c r="N9" s="691">
        <v>7.354</v>
      </c>
      <c r="O9" s="691">
        <v>7.734</v>
      </c>
      <c r="P9" s="691">
        <v>8.038</v>
      </c>
      <c r="Q9" s="691">
        <v>8.26</v>
      </c>
      <c r="R9" s="691">
        <v>8.265</v>
      </c>
      <c r="S9" s="691">
        <v>9.225</v>
      </c>
      <c r="T9" s="691">
        <v>8.51</v>
      </c>
      <c r="U9" s="691">
        <v>8.964</v>
      </c>
      <c r="V9" s="691">
        <v>9.403</v>
      </c>
      <c r="W9" s="691">
        <v>10.139</v>
      </c>
      <c r="X9" s="691">
        <v>10.237</v>
      </c>
      <c r="Y9" s="691">
        <v>10.564</v>
      </c>
      <c r="Z9" s="691">
        <v>10.669</v>
      </c>
      <c r="AA9" s="691">
        <v>10.3</v>
      </c>
      <c r="AB9" s="692">
        <f>AVERAGE(Y9:AA9)</f>
        <v>10.511000000000001</v>
      </c>
      <c r="AC9" s="843"/>
      <c r="AD9" s="844">
        <v>89.33492559250413</v>
      </c>
      <c r="AE9" s="666">
        <f t="shared" si="1"/>
        <v>2.0485436893203968</v>
      </c>
      <c r="AF9" s="663" t="s">
        <v>60</v>
      </c>
    </row>
    <row r="10" spans="1:32" ht="12.75" customHeight="1">
      <c r="A10" s="650"/>
      <c r="B10" s="651" t="s">
        <v>101</v>
      </c>
      <c r="C10" s="667">
        <v>6.224</v>
      </c>
      <c r="D10" s="667">
        <v>7.055</v>
      </c>
      <c r="E10" s="668">
        <v>7.793</v>
      </c>
      <c r="F10" s="668">
        <v>4.866</v>
      </c>
      <c r="G10" s="668">
        <v>5.393</v>
      </c>
      <c r="H10" s="668">
        <v>5.837</v>
      </c>
      <c r="I10" s="668">
        <v>5.059</v>
      </c>
      <c r="J10" s="668">
        <v>4.693</v>
      </c>
      <c r="K10" s="668">
        <v>5.065</v>
      </c>
      <c r="L10" s="668">
        <v>5.886</v>
      </c>
      <c r="M10" s="668">
        <v>4.74</v>
      </c>
      <c r="N10" s="668">
        <v>3.819</v>
      </c>
      <c r="O10" s="668">
        <v>3.472</v>
      </c>
      <c r="P10" s="668">
        <v>2.99</v>
      </c>
      <c r="Q10" s="668">
        <v>2.598</v>
      </c>
      <c r="R10" s="668">
        <v>2.517</v>
      </c>
      <c r="S10" s="668">
        <v>2.404</v>
      </c>
      <c r="T10" s="668">
        <v>2.389</v>
      </c>
      <c r="U10" s="668">
        <v>2.411</v>
      </c>
      <c r="V10" s="668">
        <v>2.404</v>
      </c>
      <c r="W10" s="668">
        <v>2.317</v>
      </c>
      <c r="X10" s="668">
        <v>2.138</v>
      </c>
      <c r="Y10" s="668">
        <v>2.09</v>
      </c>
      <c r="Z10" s="668">
        <v>2.059</v>
      </c>
      <c r="AA10" s="668">
        <v>1.87</v>
      </c>
      <c r="AB10" s="668">
        <v>1.821</v>
      </c>
      <c r="AC10" s="845">
        <v>85.2734163508392</v>
      </c>
      <c r="AD10" s="844">
        <v>88.08347062053817</v>
      </c>
      <c r="AE10" s="693">
        <f t="shared" si="1"/>
        <v>-2.6203208556149775</v>
      </c>
      <c r="AF10" s="651" t="s">
        <v>101</v>
      </c>
    </row>
    <row r="11" spans="1:32" s="679" customFormat="1" ht="12.75" customHeight="1">
      <c r="A11" s="671"/>
      <c r="B11" s="663" t="s">
        <v>61</v>
      </c>
      <c r="C11" s="753"/>
      <c r="D11" s="753"/>
      <c r="E11" s="676">
        <v>13.313</v>
      </c>
      <c r="F11" s="787">
        <v>12.5</v>
      </c>
      <c r="G11" s="676">
        <v>11.147</v>
      </c>
      <c r="H11" s="676">
        <v>8.548</v>
      </c>
      <c r="I11" s="676">
        <v>8.481</v>
      </c>
      <c r="J11" s="676">
        <v>8.023</v>
      </c>
      <c r="K11" s="676">
        <v>8.111</v>
      </c>
      <c r="L11" s="676">
        <v>7.71</v>
      </c>
      <c r="M11" s="676">
        <v>7.001</v>
      </c>
      <c r="N11" s="676">
        <v>6.929</v>
      </c>
      <c r="O11" s="676">
        <v>7.3</v>
      </c>
      <c r="P11" s="676">
        <v>7.299</v>
      </c>
      <c r="Q11" s="676">
        <v>6.597</v>
      </c>
      <c r="R11" s="676">
        <v>6.518</v>
      </c>
      <c r="S11" s="676">
        <v>6.58</v>
      </c>
      <c r="T11" s="676">
        <v>6.667</v>
      </c>
      <c r="U11" s="676">
        <v>6.922</v>
      </c>
      <c r="V11" s="676">
        <v>6.898</v>
      </c>
      <c r="W11" s="676">
        <v>6.773</v>
      </c>
      <c r="X11" s="676">
        <v>6.472</v>
      </c>
      <c r="Y11" s="676">
        <v>6.559</v>
      </c>
      <c r="Z11" s="676">
        <v>6.669</v>
      </c>
      <c r="AA11" s="676">
        <v>7.196</v>
      </c>
      <c r="AB11" s="676">
        <v>7.512</v>
      </c>
      <c r="AC11" s="845">
        <v>92.3076923076923</v>
      </c>
      <c r="AD11" s="844"/>
      <c r="AE11" s="684">
        <f t="shared" si="1"/>
        <v>4.391328515842147</v>
      </c>
      <c r="AF11" s="663" t="s">
        <v>61</v>
      </c>
    </row>
    <row r="12" spans="1:32" ht="12.75" customHeight="1">
      <c r="A12" s="650"/>
      <c r="B12" s="651" t="s">
        <v>14</v>
      </c>
      <c r="C12" s="667">
        <v>3.898</v>
      </c>
      <c r="D12" s="667">
        <v>3.803</v>
      </c>
      <c r="E12" s="668">
        <v>5.051</v>
      </c>
      <c r="F12" s="668">
        <v>4.913</v>
      </c>
      <c r="G12" s="668">
        <v>4.974</v>
      </c>
      <c r="H12" s="668">
        <v>4.939</v>
      </c>
      <c r="I12" s="668">
        <v>5.052</v>
      </c>
      <c r="J12" s="668">
        <v>4.888</v>
      </c>
      <c r="K12" s="668">
        <v>4.821</v>
      </c>
      <c r="L12" s="668">
        <v>5.173</v>
      </c>
      <c r="M12" s="668">
        <v>5.365</v>
      </c>
      <c r="N12" s="668">
        <v>5.31</v>
      </c>
      <c r="O12" s="668">
        <v>5.537</v>
      </c>
      <c r="P12" s="668">
        <v>5.721</v>
      </c>
      <c r="Q12" s="668">
        <f>5.754-0.009</f>
        <v>5.744999999999999</v>
      </c>
      <c r="R12" s="668">
        <f>5.893-0.067</f>
        <v>5.826</v>
      </c>
      <c r="S12" s="668">
        <v>5.921</v>
      </c>
      <c r="T12" s="668">
        <v>5.961</v>
      </c>
      <c r="U12" s="668">
        <v>6.097</v>
      </c>
      <c r="V12" s="668">
        <v>6.163</v>
      </c>
      <c r="W12" s="668">
        <v>6.267</v>
      </c>
      <c r="X12" s="668">
        <v>6.161</v>
      </c>
      <c r="Y12" s="668">
        <v>6.341</v>
      </c>
      <c r="Z12" s="668">
        <v>6.605</v>
      </c>
      <c r="AA12" s="668">
        <v>6.744</v>
      </c>
      <c r="AB12" s="668">
        <v>6.785</v>
      </c>
      <c r="AC12" s="845">
        <v>90.59208653572445</v>
      </c>
      <c r="AD12" s="844">
        <v>95.97230073487846</v>
      </c>
      <c r="AE12" s="693">
        <f t="shared" si="1"/>
        <v>0.6079478054567033</v>
      </c>
      <c r="AF12" s="651" t="s">
        <v>14</v>
      </c>
    </row>
    <row r="13" spans="1:32" s="679" customFormat="1" ht="12.75" customHeight="1">
      <c r="A13" s="671"/>
      <c r="B13" s="663" t="s">
        <v>63</v>
      </c>
      <c r="C13" s="753">
        <v>62.4</v>
      </c>
      <c r="D13" s="753">
        <v>62.499</v>
      </c>
      <c r="E13" s="676">
        <v>61.024</v>
      </c>
      <c r="F13" s="676">
        <v>67.31</v>
      </c>
      <c r="G13" s="752">
        <v>67.55</v>
      </c>
      <c r="H13" s="676">
        <v>63.361</v>
      </c>
      <c r="I13" s="676">
        <v>65.2</v>
      </c>
      <c r="J13" s="676">
        <v>70.977</v>
      </c>
      <c r="K13" s="676">
        <v>71.73</v>
      </c>
      <c r="L13" s="676">
        <v>72.40299999999999</v>
      </c>
      <c r="M13" s="676">
        <v>72.666</v>
      </c>
      <c r="N13" s="676">
        <v>73.79599999999999</v>
      </c>
      <c r="O13" s="676">
        <v>75.404</v>
      </c>
      <c r="P13" s="676">
        <v>75.75399999999999</v>
      </c>
      <c r="Q13" s="676">
        <v>70.819</v>
      </c>
      <c r="R13" s="676">
        <v>71.293</v>
      </c>
      <c r="S13" s="676">
        <v>72.9</v>
      </c>
      <c r="T13" s="676">
        <v>76.8</v>
      </c>
      <c r="U13" s="676">
        <v>79</v>
      </c>
      <c r="V13" s="676">
        <v>79.098</v>
      </c>
      <c r="W13" s="676">
        <v>82.5</v>
      </c>
      <c r="X13" s="676">
        <v>82.3</v>
      </c>
      <c r="Y13" s="676">
        <v>83.9</v>
      </c>
      <c r="Z13" s="676">
        <v>85.4</v>
      </c>
      <c r="AA13" s="676">
        <v>88.8</v>
      </c>
      <c r="AB13" s="676">
        <v>89</v>
      </c>
      <c r="AC13" s="845"/>
      <c r="AD13" s="844">
        <v>60.31104234196587</v>
      </c>
      <c r="AE13" s="684">
        <f t="shared" si="1"/>
        <v>0.22522522522523047</v>
      </c>
      <c r="AF13" s="663" t="s">
        <v>63</v>
      </c>
    </row>
    <row r="14" spans="1:32" ht="12.75" customHeight="1">
      <c r="A14" s="650"/>
      <c r="B14" s="651" t="s">
        <v>64</v>
      </c>
      <c r="C14" s="667">
        <v>1.231</v>
      </c>
      <c r="D14" s="667">
        <v>1.553</v>
      </c>
      <c r="E14" s="668">
        <v>1.51</v>
      </c>
      <c r="F14" s="668">
        <v>1.273</v>
      </c>
      <c r="G14" s="668">
        <v>0.95</v>
      </c>
      <c r="H14" s="668">
        <v>0.722</v>
      </c>
      <c r="I14" s="668">
        <v>0.537</v>
      </c>
      <c r="J14" s="668">
        <v>0.421</v>
      </c>
      <c r="K14" s="668">
        <v>0.309</v>
      </c>
      <c r="L14" s="668">
        <v>0.262</v>
      </c>
      <c r="M14" s="668">
        <v>0.236</v>
      </c>
      <c r="N14" s="668">
        <v>0.238</v>
      </c>
      <c r="O14" s="668">
        <v>0.261</v>
      </c>
      <c r="P14" s="668">
        <v>0.182649</v>
      </c>
      <c r="Q14" s="668">
        <v>0.17695</v>
      </c>
      <c r="R14" s="668">
        <v>0.181814</v>
      </c>
      <c r="S14" s="668">
        <v>0.193</v>
      </c>
      <c r="T14" s="668">
        <v>0.248</v>
      </c>
      <c r="U14" s="668">
        <v>0.257</v>
      </c>
      <c r="V14" s="668">
        <v>0.274</v>
      </c>
      <c r="W14" s="668">
        <v>0.274</v>
      </c>
      <c r="X14" s="668">
        <v>0.249</v>
      </c>
      <c r="Y14" s="668">
        <v>0.247</v>
      </c>
      <c r="Z14" s="668">
        <v>0.243</v>
      </c>
      <c r="AA14" s="668">
        <v>0.235</v>
      </c>
      <c r="AB14" s="668">
        <v>0.223</v>
      </c>
      <c r="AC14" s="845">
        <v>92.76595744680851</v>
      </c>
      <c r="AD14" s="844">
        <v>90.01614349775784</v>
      </c>
      <c r="AE14" s="693">
        <f t="shared" si="1"/>
        <v>-5.106382978723403</v>
      </c>
      <c r="AF14" s="651" t="s">
        <v>64</v>
      </c>
    </row>
    <row r="15" spans="1:32" ht="12.75" customHeight="1">
      <c r="A15" s="650"/>
      <c r="B15" s="663" t="s">
        <v>68</v>
      </c>
      <c r="C15" s="664">
        <v>0.582</v>
      </c>
      <c r="D15" s="664">
        <v>1.032</v>
      </c>
      <c r="E15" s="691">
        <v>1.226</v>
      </c>
      <c r="F15" s="691">
        <v>1.29</v>
      </c>
      <c r="G15" s="691">
        <v>1.226</v>
      </c>
      <c r="H15" s="691">
        <v>1.274</v>
      </c>
      <c r="I15" s="691">
        <v>1.26</v>
      </c>
      <c r="J15" s="691">
        <v>1.291</v>
      </c>
      <c r="K15" s="691">
        <v>1.295</v>
      </c>
      <c r="L15" s="691">
        <v>1.387</v>
      </c>
      <c r="M15" s="691">
        <v>1.421</v>
      </c>
      <c r="N15" s="691">
        <v>1.458</v>
      </c>
      <c r="O15" s="691">
        <v>1.389</v>
      </c>
      <c r="P15" s="691">
        <v>1.515</v>
      </c>
      <c r="Q15" s="691">
        <v>1.628</v>
      </c>
      <c r="R15" s="691">
        <v>1.601</v>
      </c>
      <c r="S15" s="691">
        <v>1.582</v>
      </c>
      <c r="T15" s="691">
        <v>1.781</v>
      </c>
      <c r="U15" s="691">
        <v>1.872</v>
      </c>
      <c r="V15" s="691">
        <v>2.007</v>
      </c>
      <c r="W15" s="691">
        <v>1.976</v>
      </c>
      <c r="X15" s="691">
        <v>1.683</v>
      </c>
      <c r="Y15" s="691">
        <v>1.678</v>
      </c>
      <c r="Z15" s="691">
        <v>1.638</v>
      </c>
      <c r="AA15" s="691">
        <v>1.578</v>
      </c>
      <c r="AB15" s="691">
        <v>1.569</v>
      </c>
      <c r="AC15" s="845">
        <v>93.93173198482933</v>
      </c>
      <c r="AD15" s="844">
        <v>100</v>
      </c>
      <c r="AE15" s="666">
        <f t="shared" si="1"/>
        <v>-0.5703422053232003</v>
      </c>
      <c r="AF15" s="663" t="s">
        <v>68</v>
      </c>
    </row>
    <row r="16" spans="1:32" ht="12.75" customHeight="1">
      <c r="A16" s="650"/>
      <c r="B16" s="651" t="s">
        <v>15</v>
      </c>
      <c r="C16" s="667">
        <v>1.951</v>
      </c>
      <c r="D16" s="667">
        <v>1.464</v>
      </c>
      <c r="E16" s="668">
        <v>1.977</v>
      </c>
      <c r="F16" s="668">
        <v>1.995</v>
      </c>
      <c r="G16" s="668">
        <v>2.046</v>
      </c>
      <c r="H16" s="668">
        <v>1.726</v>
      </c>
      <c r="I16" s="668">
        <v>1.599</v>
      </c>
      <c r="J16" s="668">
        <v>1.568</v>
      </c>
      <c r="K16" s="668">
        <v>1.751</v>
      </c>
      <c r="L16" s="668">
        <v>1.884</v>
      </c>
      <c r="M16" s="668">
        <v>1.552</v>
      </c>
      <c r="N16" s="668">
        <v>1.583</v>
      </c>
      <c r="O16" s="668">
        <v>1.886</v>
      </c>
      <c r="P16" s="668">
        <v>1.747</v>
      </c>
      <c r="Q16" s="668">
        <v>1.836</v>
      </c>
      <c r="R16" s="668">
        <v>1.574</v>
      </c>
      <c r="S16" s="668">
        <v>1.668</v>
      </c>
      <c r="T16" s="668">
        <v>1.854</v>
      </c>
      <c r="U16" s="668">
        <v>1.811</v>
      </c>
      <c r="V16" s="668">
        <v>1.93</v>
      </c>
      <c r="W16" s="668">
        <v>1.657</v>
      </c>
      <c r="X16" s="668">
        <v>1.467</v>
      </c>
      <c r="Y16" s="668">
        <v>1.383</v>
      </c>
      <c r="Z16" s="668">
        <v>0.958</v>
      </c>
      <c r="AA16" s="668">
        <v>0.832</v>
      </c>
      <c r="AB16" s="668">
        <v>1.056</v>
      </c>
      <c r="AC16" s="845">
        <v>100</v>
      </c>
      <c r="AD16" s="844">
        <v>100</v>
      </c>
      <c r="AE16" s="693">
        <f t="shared" si="1"/>
        <v>26.923076923076934</v>
      </c>
      <c r="AF16" s="651" t="s">
        <v>15</v>
      </c>
    </row>
    <row r="17" spans="1:32" ht="12.75" customHeight="1">
      <c r="A17" s="650"/>
      <c r="B17" s="663" t="s">
        <v>66</v>
      </c>
      <c r="C17" s="664">
        <v>14.013</v>
      </c>
      <c r="D17" s="664">
        <v>13.527</v>
      </c>
      <c r="E17" s="691">
        <v>15.476</v>
      </c>
      <c r="F17" s="691">
        <v>15.022</v>
      </c>
      <c r="G17" s="691">
        <v>16.302</v>
      </c>
      <c r="H17" s="691">
        <v>15.234</v>
      </c>
      <c r="I17" s="691">
        <v>14.853</v>
      </c>
      <c r="J17" s="691">
        <v>16.577</v>
      </c>
      <c r="K17" s="692">
        <v>16.85</v>
      </c>
      <c r="L17" s="692">
        <v>17.83</v>
      </c>
      <c r="M17" s="692">
        <v>18.73</v>
      </c>
      <c r="N17" s="691">
        <v>19.655</v>
      </c>
      <c r="O17" s="691">
        <v>20.144</v>
      </c>
      <c r="P17" s="691">
        <v>20.829</v>
      </c>
      <c r="Q17" s="691">
        <v>21.211</v>
      </c>
      <c r="R17" s="691">
        <v>21.127</v>
      </c>
      <c r="S17" s="691">
        <v>20.328</v>
      </c>
      <c r="T17" s="691">
        <v>21.151</v>
      </c>
      <c r="U17" s="691">
        <v>21.62</v>
      </c>
      <c r="V17" s="691">
        <v>21.362</v>
      </c>
      <c r="W17" s="691">
        <v>23.453</v>
      </c>
      <c r="X17" s="691">
        <v>23.055</v>
      </c>
      <c r="Y17" s="691">
        <v>22.348</v>
      </c>
      <c r="Z17" s="691">
        <v>22.937</v>
      </c>
      <c r="AA17" s="691">
        <v>22.452</v>
      </c>
      <c r="AB17" s="691">
        <v>23.755</v>
      </c>
      <c r="AC17" s="845">
        <v>50.858063904427794</v>
      </c>
      <c r="AD17" s="844"/>
      <c r="AE17" s="666">
        <f t="shared" si="1"/>
        <v>5.803491893817906</v>
      </c>
      <c r="AF17" s="663" t="s">
        <v>66</v>
      </c>
    </row>
    <row r="18" spans="1:32" ht="12.75" customHeight="1">
      <c r="A18" s="650"/>
      <c r="B18" s="651" t="s">
        <v>67</v>
      </c>
      <c r="C18" s="667">
        <v>40.979</v>
      </c>
      <c r="D18" s="667">
        <v>54.496</v>
      </c>
      <c r="E18" s="668">
        <v>63.74</v>
      </c>
      <c r="F18" s="668">
        <v>62.37</v>
      </c>
      <c r="G18" s="668">
        <v>62.99</v>
      </c>
      <c r="H18" s="668">
        <v>58.43</v>
      </c>
      <c r="I18" s="668">
        <v>58.94</v>
      </c>
      <c r="J18" s="668">
        <v>54.21880628199998</v>
      </c>
      <c r="K18" s="668">
        <v>58.37219858699997</v>
      </c>
      <c r="L18" s="668">
        <v>59.89835994899995</v>
      </c>
      <c r="M18" s="668">
        <v>63.54396329399996</v>
      </c>
      <c r="N18" s="668">
        <v>64.96782778799995</v>
      </c>
      <c r="O18" s="668">
        <v>69.41590813899998</v>
      </c>
      <c r="P18" s="668">
        <v>71.11860576999997</v>
      </c>
      <c r="Q18" s="668">
        <v>72.89738271499998</v>
      </c>
      <c r="R18" s="668">
        <v>71.09636678814194</v>
      </c>
      <c r="S18" s="668">
        <v>73.914539779</v>
      </c>
      <c r="T18" s="668">
        <v>75.98150492199997</v>
      </c>
      <c r="U18" s="668">
        <v>79.27589861599998</v>
      </c>
      <c r="V18" s="668">
        <v>81.29345699899999</v>
      </c>
      <c r="W18" s="668">
        <v>86.33911544399999</v>
      </c>
      <c r="X18" s="668">
        <v>85.61241833891697</v>
      </c>
      <c r="Y18" s="668">
        <v>85.60156774584</v>
      </c>
      <c r="Z18" s="668">
        <v>88.73188275838001</v>
      </c>
      <c r="AA18" s="668">
        <v>88.00345685826491</v>
      </c>
      <c r="AB18" s="668">
        <v>87.3961</v>
      </c>
      <c r="AC18" s="845">
        <v>37.609649122807014</v>
      </c>
      <c r="AD18" s="844">
        <v>37.086092715231786</v>
      </c>
      <c r="AE18" s="693">
        <f t="shared" si="1"/>
        <v>-0.6901511371798676</v>
      </c>
      <c r="AF18" s="651" t="s">
        <v>67</v>
      </c>
    </row>
    <row r="19" spans="1:32" ht="12.75" customHeight="1">
      <c r="A19" s="650"/>
      <c r="B19" s="663" t="s">
        <v>148</v>
      </c>
      <c r="C19" s="682">
        <v>3.732</v>
      </c>
      <c r="D19" s="682">
        <v>3.619</v>
      </c>
      <c r="E19" s="674">
        <v>3.429</v>
      </c>
      <c r="F19" s="674">
        <v>1.427</v>
      </c>
      <c r="G19" s="674">
        <v>1.145</v>
      </c>
      <c r="H19" s="674">
        <v>1.094</v>
      </c>
      <c r="I19" s="674">
        <v>1.182</v>
      </c>
      <c r="J19" s="674">
        <v>1.139</v>
      </c>
      <c r="K19" s="674">
        <v>1.205</v>
      </c>
      <c r="L19" s="674">
        <v>1.158</v>
      </c>
      <c r="M19" s="674">
        <v>1.092</v>
      </c>
      <c r="N19" s="674">
        <v>1.137</v>
      </c>
      <c r="O19" s="674">
        <v>1.252</v>
      </c>
      <c r="P19" s="674">
        <v>1.241</v>
      </c>
      <c r="Q19" s="674">
        <v>1.195</v>
      </c>
      <c r="R19" s="674">
        <v>1.163</v>
      </c>
      <c r="S19" s="674">
        <v>1.169</v>
      </c>
      <c r="T19" s="674">
        <v>1.227</v>
      </c>
      <c r="U19" s="674">
        <v>1.322</v>
      </c>
      <c r="V19" s="674">
        <v>1.573</v>
      </c>
      <c r="W19" s="674">
        <v>1.769</v>
      </c>
      <c r="X19" s="674">
        <v>1.802</v>
      </c>
      <c r="Y19" s="674">
        <v>1.711</v>
      </c>
      <c r="Z19" s="674">
        <v>1.457</v>
      </c>
      <c r="AA19" s="674">
        <v>1.08</v>
      </c>
      <c r="AB19" s="674">
        <v>0.935</v>
      </c>
      <c r="AC19" s="845"/>
      <c r="AD19" s="844">
        <v>67.41829883449883</v>
      </c>
      <c r="AE19" s="684">
        <f t="shared" si="1"/>
        <v>-13.425925925925924</v>
      </c>
      <c r="AF19" s="663" t="s">
        <v>148</v>
      </c>
    </row>
    <row r="20" spans="1:32" s="679" customFormat="1" ht="12.75" customHeight="1">
      <c r="A20" s="671"/>
      <c r="B20" s="694" t="s">
        <v>69</v>
      </c>
      <c r="C20" s="695">
        <v>32.457</v>
      </c>
      <c r="D20" s="695">
        <v>39.587</v>
      </c>
      <c r="E20" s="698">
        <v>44.709</v>
      </c>
      <c r="F20" s="698">
        <v>45.065</v>
      </c>
      <c r="G20" s="698">
        <v>44.409</v>
      </c>
      <c r="H20" s="698">
        <v>42.72</v>
      </c>
      <c r="I20" s="699">
        <v>43.375</v>
      </c>
      <c r="J20" s="698">
        <f>43.859+2.792</f>
        <v>46.651</v>
      </c>
      <c r="K20" s="698">
        <f>44.78+2.8</f>
        <v>47.58</v>
      </c>
      <c r="L20" s="698">
        <f>43.591+2.8</f>
        <v>46.391</v>
      </c>
      <c r="M20" s="698">
        <f>41.391+2.8</f>
        <v>44.190999999999995</v>
      </c>
      <c r="N20" s="698">
        <f>43.424+2.878</f>
        <v>46.302</v>
      </c>
      <c r="O20" s="698">
        <f>47.133+2.439</f>
        <v>49.572</v>
      </c>
      <c r="P20" s="698">
        <f>46.752+3.324</f>
        <v>50.076</v>
      </c>
      <c r="Q20" s="698">
        <f>45.956+3.348</f>
        <v>49.304</v>
      </c>
      <c r="R20" s="698">
        <f>45.222+3.475</f>
        <v>48.697</v>
      </c>
      <c r="S20" s="698">
        <v>49.254</v>
      </c>
      <c r="T20" s="698">
        <v>50.088</v>
      </c>
      <c r="U20" s="698">
        <v>50.185</v>
      </c>
      <c r="V20" s="698">
        <v>49.78</v>
      </c>
      <c r="W20" s="698">
        <v>49.524</v>
      </c>
      <c r="X20" s="698">
        <v>48.124</v>
      </c>
      <c r="Y20" s="698">
        <v>47.172</v>
      </c>
      <c r="Z20" s="698">
        <v>46.845</v>
      </c>
      <c r="AA20" s="698">
        <v>46.759</v>
      </c>
      <c r="AB20" s="698">
        <v>48.739</v>
      </c>
      <c r="AC20" s="845">
        <v>51.36712346731361</v>
      </c>
      <c r="AD20" s="844">
        <v>61.08951868736738</v>
      </c>
      <c r="AE20" s="701">
        <f t="shared" si="1"/>
        <v>4.234478923843525</v>
      </c>
      <c r="AF20" s="694" t="s">
        <v>69</v>
      </c>
    </row>
    <row r="21" spans="1:32" ht="12.75" customHeight="1">
      <c r="A21" s="650"/>
      <c r="B21" s="663" t="s">
        <v>71</v>
      </c>
      <c r="C21" s="793" t="s">
        <v>146</v>
      </c>
      <c r="D21" s="793" t="s">
        <v>146</v>
      </c>
      <c r="E21" s="794" t="s">
        <v>146</v>
      </c>
      <c r="F21" s="794" t="s">
        <v>146</v>
      </c>
      <c r="G21" s="794" t="s">
        <v>146</v>
      </c>
      <c r="H21" s="794" t="s">
        <v>146</v>
      </c>
      <c r="I21" s="794" t="s">
        <v>146</v>
      </c>
      <c r="J21" s="794" t="s">
        <v>146</v>
      </c>
      <c r="K21" s="794" t="s">
        <v>146</v>
      </c>
      <c r="L21" s="794" t="s">
        <v>146</v>
      </c>
      <c r="M21" s="794" t="s">
        <v>146</v>
      </c>
      <c r="N21" s="794" t="s">
        <v>146</v>
      </c>
      <c r="O21" s="794" t="s">
        <v>146</v>
      </c>
      <c r="P21" s="794" t="s">
        <v>146</v>
      </c>
      <c r="Q21" s="794" t="s">
        <v>146</v>
      </c>
      <c r="R21" s="794" t="s">
        <v>146</v>
      </c>
      <c r="S21" s="794" t="s">
        <v>146</v>
      </c>
      <c r="T21" s="794" t="s">
        <v>146</v>
      </c>
      <c r="U21" s="794" t="s">
        <v>146</v>
      </c>
      <c r="V21" s="794" t="s">
        <v>146</v>
      </c>
      <c r="W21" s="794" t="s">
        <v>146</v>
      </c>
      <c r="X21" s="794" t="s">
        <v>146</v>
      </c>
      <c r="Y21" s="794" t="s">
        <v>146</v>
      </c>
      <c r="Z21" s="794" t="s">
        <v>146</v>
      </c>
      <c r="AA21" s="794" t="s">
        <v>146</v>
      </c>
      <c r="AB21" s="794" t="s">
        <v>146</v>
      </c>
      <c r="AC21" s="845" t="s">
        <v>146</v>
      </c>
      <c r="AD21" s="844" t="s">
        <v>146</v>
      </c>
      <c r="AE21" s="795" t="s">
        <v>146</v>
      </c>
      <c r="AF21" s="663" t="s">
        <v>71</v>
      </c>
    </row>
    <row r="22" spans="1:32" s="679" customFormat="1" ht="12.75" customHeight="1">
      <c r="A22" s="671"/>
      <c r="B22" s="694" t="s">
        <v>72</v>
      </c>
      <c r="C22" s="695">
        <v>3.747</v>
      </c>
      <c r="D22" s="695">
        <v>4.687</v>
      </c>
      <c r="E22" s="698">
        <v>5.366</v>
      </c>
      <c r="F22" s="698">
        <v>3.93</v>
      </c>
      <c r="G22" s="698">
        <v>3.656</v>
      </c>
      <c r="H22" s="698">
        <v>2.359</v>
      </c>
      <c r="I22" s="698">
        <v>1.794</v>
      </c>
      <c r="J22" s="698">
        <v>1.373</v>
      </c>
      <c r="K22" s="698">
        <v>1.149</v>
      </c>
      <c r="L22" s="698">
        <v>1.154</v>
      </c>
      <c r="M22" s="698">
        <v>1.059</v>
      </c>
      <c r="N22" s="698">
        <v>0.984</v>
      </c>
      <c r="O22" s="698">
        <v>0.715</v>
      </c>
      <c r="P22" s="698">
        <v>0.706</v>
      </c>
      <c r="Q22" s="698">
        <v>0.744</v>
      </c>
      <c r="R22" s="698">
        <v>0.762</v>
      </c>
      <c r="S22" s="698">
        <v>0.806</v>
      </c>
      <c r="T22" s="698">
        <v>0.889</v>
      </c>
      <c r="U22" s="698">
        <v>0.986</v>
      </c>
      <c r="V22" s="698">
        <v>0.975</v>
      </c>
      <c r="W22" s="698">
        <v>0.941</v>
      </c>
      <c r="X22" s="698">
        <v>0.748</v>
      </c>
      <c r="Y22" s="698">
        <v>0.741</v>
      </c>
      <c r="Z22" s="698">
        <v>0.733</v>
      </c>
      <c r="AA22" s="698">
        <v>0.717</v>
      </c>
      <c r="AB22" s="698">
        <v>0.721</v>
      </c>
      <c r="AC22" s="845">
        <v>88.27586206896552</v>
      </c>
      <c r="AD22" s="844">
        <v>88.52005532503458</v>
      </c>
      <c r="AE22" s="701">
        <f>AB22/AA22*100-100</f>
        <v>0.5578800557880044</v>
      </c>
      <c r="AF22" s="694" t="s">
        <v>72</v>
      </c>
    </row>
    <row r="23" spans="1:32" ht="12.75" customHeight="1">
      <c r="A23" s="650"/>
      <c r="B23" s="663" t="s">
        <v>73</v>
      </c>
      <c r="C23" s="682">
        <v>2.132</v>
      </c>
      <c r="D23" s="682">
        <v>3.258</v>
      </c>
      <c r="E23" s="674">
        <v>3.64</v>
      </c>
      <c r="F23" s="674">
        <v>3.225</v>
      </c>
      <c r="G23" s="674">
        <v>2.74</v>
      </c>
      <c r="H23" s="674">
        <v>2.7</v>
      </c>
      <c r="I23" s="674">
        <v>1.574</v>
      </c>
      <c r="J23" s="674">
        <v>1.13</v>
      </c>
      <c r="K23" s="674">
        <v>0.954</v>
      </c>
      <c r="L23" s="674">
        <v>0.842</v>
      </c>
      <c r="M23" s="674">
        <v>0.8</v>
      </c>
      <c r="N23" s="674">
        <v>0.745</v>
      </c>
      <c r="O23" s="674">
        <v>0.611</v>
      </c>
      <c r="P23" s="674">
        <v>0.533</v>
      </c>
      <c r="Q23" s="674">
        <v>0.498</v>
      </c>
      <c r="R23" s="674">
        <v>0.432</v>
      </c>
      <c r="S23" s="674">
        <v>0.444</v>
      </c>
      <c r="T23" s="674">
        <v>0.28</v>
      </c>
      <c r="U23" s="674">
        <v>0.268</v>
      </c>
      <c r="V23" s="674">
        <v>0.246</v>
      </c>
      <c r="W23" s="674">
        <v>0.258</v>
      </c>
      <c r="X23" s="674">
        <v>0.231</v>
      </c>
      <c r="Y23" s="674">
        <v>0.244</v>
      </c>
      <c r="Z23" s="674">
        <v>0.269</v>
      </c>
      <c r="AA23" s="674">
        <v>0.278</v>
      </c>
      <c r="AB23" s="674">
        <v>0.278</v>
      </c>
      <c r="AC23" s="845">
        <v>100</v>
      </c>
      <c r="AD23" s="846">
        <v>64.51406649616368</v>
      </c>
      <c r="AE23" s="684">
        <f>AB23/AA23*100-100</f>
        <v>0</v>
      </c>
      <c r="AF23" s="663" t="s">
        <v>73</v>
      </c>
    </row>
    <row r="24" spans="1:32" s="679" customFormat="1" ht="12.75" customHeight="1">
      <c r="A24" s="671"/>
      <c r="B24" s="694" t="s">
        <v>76</v>
      </c>
      <c r="C24" s="695">
        <v>0.256</v>
      </c>
      <c r="D24" s="695">
        <v>0.246</v>
      </c>
      <c r="E24" s="698">
        <v>0.208</v>
      </c>
      <c r="F24" s="698">
        <v>0.22</v>
      </c>
      <c r="G24" s="698">
        <v>0.255</v>
      </c>
      <c r="H24" s="698">
        <v>0.262</v>
      </c>
      <c r="I24" s="698">
        <v>0.289</v>
      </c>
      <c r="J24" s="698">
        <v>0.287</v>
      </c>
      <c r="K24" s="698">
        <v>0.284</v>
      </c>
      <c r="L24" s="698">
        <v>0.295</v>
      </c>
      <c r="M24" s="698">
        <v>0.3</v>
      </c>
      <c r="N24" s="698">
        <v>0.31</v>
      </c>
      <c r="O24" s="698">
        <v>0.332</v>
      </c>
      <c r="P24" s="698">
        <v>0.346</v>
      </c>
      <c r="Q24" s="698">
        <v>0.268</v>
      </c>
      <c r="R24" s="698">
        <v>0.262</v>
      </c>
      <c r="S24" s="698">
        <v>0.253</v>
      </c>
      <c r="T24" s="698">
        <v>0.267</v>
      </c>
      <c r="U24" s="698">
        <v>0.298</v>
      </c>
      <c r="V24" s="698">
        <v>0.316</v>
      </c>
      <c r="W24" s="698">
        <v>0.345</v>
      </c>
      <c r="X24" s="698">
        <v>0.333</v>
      </c>
      <c r="Y24" s="698">
        <v>0.347</v>
      </c>
      <c r="Z24" s="698">
        <f>0.349</f>
        <v>0.349</v>
      </c>
      <c r="AA24" s="698">
        <v>0.374</v>
      </c>
      <c r="AB24" s="698">
        <v>0.385</v>
      </c>
      <c r="AC24" s="847"/>
      <c r="AD24" s="844">
        <v>100</v>
      </c>
      <c r="AE24" s="701">
        <f>AB24/AA24*100-100</f>
        <v>2.941176470588246</v>
      </c>
      <c r="AF24" s="694" t="s">
        <v>76</v>
      </c>
    </row>
    <row r="25" spans="1:32" ht="12.75" customHeight="1">
      <c r="A25" s="650"/>
      <c r="B25" s="663" t="s">
        <v>77</v>
      </c>
      <c r="C25" s="682">
        <v>16.35</v>
      </c>
      <c r="D25" s="682">
        <v>13.544</v>
      </c>
      <c r="E25" s="674">
        <v>11.403</v>
      </c>
      <c r="F25" s="674">
        <v>9.861</v>
      </c>
      <c r="G25" s="674">
        <v>9.183</v>
      </c>
      <c r="H25" s="674">
        <v>8.432</v>
      </c>
      <c r="I25" s="674">
        <v>8.508</v>
      </c>
      <c r="J25" s="674">
        <v>8.441</v>
      </c>
      <c r="K25" s="674">
        <v>8.582</v>
      </c>
      <c r="L25" s="674">
        <v>8.669</v>
      </c>
      <c r="M25" s="674">
        <v>8.884</v>
      </c>
      <c r="N25" s="674">
        <v>9.514</v>
      </c>
      <c r="O25" s="674">
        <v>9.693</v>
      </c>
      <c r="P25" s="674">
        <v>10.005</v>
      </c>
      <c r="Q25" s="674">
        <v>10.531</v>
      </c>
      <c r="R25" s="674">
        <v>10.286</v>
      </c>
      <c r="S25" s="674">
        <v>10.165</v>
      </c>
      <c r="T25" s="674">
        <v>9.851</v>
      </c>
      <c r="U25" s="674">
        <v>9.658</v>
      </c>
      <c r="V25" s="674">
        <v>8.752</v>
      </c>
      <c r="W25" s="674">
        <v>8.293</v>
      </c>
      <c r="X25" s="674">
        <f>7.681+0.391</f>
        <v>8.072</v>
      </c>
      <c r="Y25" s="674">
        <v>7.692</v>
      </c>
      <c r="Z25" s="674">
        <v>7.806098</v>
      </c>
      <c r="AA25" s="674">
        <v>7.806028</v>
      </c>
      <c r="AB25" s="674">
        <v>7.843</v>
      </c>
      <c r="AC25" s="845">
        <v>94.26008968609865</v>
      </c>
      <c r="AD25" s="844">
        <v>95.34913516976297</v>
      </c>
      <c r="AE25" s="684">
        <f>AB25/AA25*100-100</f>
        <v>0.47363396595554264</v>
      </c>
      <c r="AF25" s="663" t="s">
        <v>77</v>
      </c>
    </row>
    <row r="26" spans="1:32" s="679" customFormat="1" ht="12.75" customHeight="1">
      <c r="A26" s="671"/>
      <c r="B26" s="694" t="s">
        <v>78</v>
      </c>
      <c r="C26" s="797" t="s">
        <v>146</v>
      </c>
      <c r="D26" s="797" t="s">
        <v>146</v>
      </c>
      <c r="E26" s="798" t="s">
        <v>146</v>
      </c>
      <c r="F26" s="798" t="s">
        <v>146</v>
      </c>
      <c r="G26" s="798" t="s">
        <v>146</v>
      </c>
      <c r="H26" s="798" t="s">
        <v>146</v>
      </c>
      <c r="I26" s="798" t="s">
        <v>146</v>
      </c>
      <c r="J26" s="798" t="s">
        <v>146</v>
      </c>
      <c r="K26" s="798" t="s">
        <v>146</v>
      </c>
      <c r="L26" s="798" t="s">
        <v>146</v>
      </c>
      <c r="M26" s="798" t="s">
        <v>146</v>
      </c>
      <c r="N26" s="798" t="s">
        <v>146</v>
      </c>
      <c r="O26" s="798" t="s">
        <v>146</v>
      </c>
      <c r="P26" s="798" t="s">
        <v>146</v>
      </c>
      <c r="Q26" s="798" t="s">
        <v>146</v>
      </c>
      <c r="R26" s="798" t="s">
        <v>146</v>
      </c>
      <c r="S26" s="798" t="s">
        <v>146</v>
      </c>
      <c r="T26" s="798" t="s">
        <v>146</v>
      </c>
      <c r="U26" s="798" t="s">
        <v>146</v>
      </c>
      <c r="V26" s="798" t="s">
        <v>146</v>
      </c>
      <c r="W26" s="798" t="s">
        <v>146</v>
      </c>
      <c r="X26" s="798" t="s">
        <v>146</v>
      </c>
      <c r="Y26" s="798" t="s">
        <v>146</v>
      </c>
      <c r="Z26" s="798" t="s">
        <v>146</v>
      </c>
      <c r="AA26" s="798" t="s">
        <v>146</v>
      </c>
      <c r="AB26" s="798" t="s">
        <v>146</v>
      </c>
      <c r="AC26" s="845" t="s">
        <v>146</v>
      </c>
      <c r="AD26" s="844" t="s">
        <v>146</v>
      </c>
      <c r="AE26" s="799" t="s">
        <v>146</v>
      </c>
      <c r="AF26" s="694" t="s">
        <v>78</v>
      </c>
    </row>
    <row r="27" spans="1:32" ht="12.75" customHeight="1">
      <c r="A27" s="650"/>
      <c r="B27" s="663" t="s">
        <v>16</v>
      </c>
      <c r="C27" s="682">
        <v>8.011</v>
      </c>
      <c r="D27" s="682">
        <v>8.91</v>
      </c>
      <c r="E27" s="674">
        <v>11.06</v>
      </c>
      <c r="F27" s="674">
        <v>15.195</v>
      </c>
      <c r="G27" s="674">
        <v>15.35</v>
      </c>
      <c r="H27" s="674">
        <v>15.245</v>
      </c>
      <c r="I27" s="674">
        <v>14.439</v>
      </c>
      <c r="J27" s="674">
        <v>16.35</v>
      </c>
      <c r="K27" s="674">
        <v>14.092</v>
      </c>
      <c r="L27" s="674">
        <v>13.875</v>
      </c>
      <c r="M27" s="674">
        <v>14.107</v>
      </c>
      <c r="N27" s="674">
        <v>14.281</v>
      </c>
      <c r="O27" s="674">
        <v>14.666</v>
      </c>
      <c r="P27" s="674">
        <v>14.392</v>
      </c>
      <c r="Q27" s="674">
        <v>14.288</v>
      </c>
      <c r="R27" s="674">
        <v>13.848</v>
      </c>
      <c r="S27" s="674">
        <v>14.509</v>
      </c>
      <c r="T27" s="674">
        <v>15.153</v>
      </c>
      <c r="U27" s="674">
        <v>15.889</v>
      </c>
      <c r="V27" s="674">
        <v>15.546</v>
      </c>
      <c r="W27" s="674">
        <v>15.313</v>
      </c>
      <c r="X27" s="674">
        <v>15.4</v>
      </c>
      <c r="Y27" s="674">
        <v>15.4</v>
      </c>
      <c r="Z27" s="674">
        <v>16.808</v>
      </c>
      <c r="AA27" s="674">
        <v>17.771</v>
      </c>
      <c r="AB27" s="674">
        <v>17.669</v>
      </c>
      <c r="AC27" s="845"/>
      <c r="AD27" s="844">
        <v>96.31558096100515</v>
      </c>
      <c r="AE27" s="684">
        <f aca="true" t="shared" si="4" ref="AE27:AE41">AB27/AA27*100-100</f>
        <v>-0.5739688256147701</v>
      </c>
      <c r="AF27" s="663" t="s">
        <v>16</v>
      </c>
    </row>
    <row r="28" spans="1:32" s="679" customFormat="1" ht="12.75" customHeight="1">
      <c r="A28" s="671"/>
      <c r="B28" s="694" t="s">
        <v>81</v>
      </c>
      <c r="C28" s="695">
        <v>6.438</v>
      </c>
      <c r="D28" s="695">
        <v>7.586</v>
      </c>
      <c r="E28" s="698">
        <v>8.912</v>
      </c>
      <c r="F28" s="698">
        <v>9.59</v>
      </c>
      <c r="G28" s="698">
        <v>9.957</v>
      </c>
      <c r="H28" s="698">
        <v>9.764</v>
      </c>
      <c r="I28" s="698">
        <v>9.949</v>
      </c>
      <c r="J28" s="698">
        <v>10.124</v>
      </c>
      <c r="K28" s="698">
        <v>10.222</v>
      </c>
      <c r="L28" s="698">
        <v>8.709</v>
      </c>
      <c r="M28" s="698">
        <v>8.537</v>
      </c>
      <c r="N28" s="698">
        <v>8.554</v>
      </c>
      <c r="O28" s="698">
        <v>8.73978502490829</v>
      </c>
      <c r="P28" s="698">
        <v>8.76093130944158</v>
      </c>
      <c r="Q28" s="698">
        <v>8.80985261380452</v>
      </c>
      <c r="R28" s="698">
        <v>8.6731335633535</v>
      </c>
      <c r="S28" s="698">
        <v>8.274</v>
      </c>
      <c r="T28" s="698">
        <v>8.685</v>
      </c>
      <c r="U28" s="698">
        <v>8.907</v>
      </c>
      <c r="V28" s="698">
        <v>9.167</v>
      </c>
      <c r="W28" s="698">
        <v>10.365</v>
      </c>
      <c r="X28" s="698">
        <v>10.184</v>
      </c>
      <c r="Y28" s="698">
        <v>10.263</v>
      </c>
      <c r="Z28" s="698">
        <v>10.426</v>
      </c>
      <c r="AA28" s="698">
        <v>10.853</v>
      </c>
      <c r="AB28" s="698">
        <v>12.282</v>
      </c>
      <c r="AC28" s="847"/>
      <c r="AD28" s="848"/>
      <c r="AE28" s="701">
        <f t="shared" si="4"/>
        <v>13.166866304247677</v>
      </c>
      <c r="AF28" s="694" t="s">
        <v>81</v>
      </c>
    </row>
    <row r="29" spans="1:32" ht="12.75" customHeight="1">
      <c r="A29" s="650"/>
      <c r="B29" s="663" t="s">
        <v>80</v>
      </c>
      <c r="C29" s="682">
        <v>36.891</v>
      </c>
      <c r="D29" s="682">
        <v>46.324</v>
      </c>
      <c r="E29" s="674">
        <v>50.373</v>
      </c>
      <c r="F29" s="674">
        <v>40.115</v>
      </c>
      <c r="G29" s="674">
        <v>32.571</v>
      </c>
      <c r="H29" s="674">
        <v>30.864</v>
      </c>
      <c r="I29" s="674">
        <v>27.61</v>
      </c>
      <c r="J29" s="674">
        <v>26.635</v>
      </c>
      <c r="K29" s="674">
        <v>19.807</v>
      </c>
      <c r="L29" s="674">
        <v>19.928</v>
      </c>
      <c r="M29" s="674">
        <v>20.553</v>
      </c>
      <c r="N29" s="674">
        <v>21.518</v>
      </c>
      <c r="O29" s="674">
        <v>24.093</v>
      </c>
      <c r="P29" s="674">
        <v>22.469</v>
      </c>
      <c r="Q29" s="674">
        <v>20.749</v>
      </c>
      <c r="R29" s="674">
        <v>19.638</v>
      </c>
      <c r="S29" s="674">
        <v>18.43</v>
      </c>
      <c r="T29" s="674">
        <v>17.882</v>
      </c>
      <c r="U29" s="674">
        <v>18.24</v>
      </c>
      <c r="V29" s="674">
        <v>19.524</v>
      </c>
      <c r="W29" s="674">
        <v>19.762</v>
      </c>
      <c r="X29" s="674">
        <v>18.128</v>
      </c>
      <c r="Y29" s="674">
        <v>17.485</v>
      </c>
      <c r="Z29" s="674">
        <v>17.633</v>
      </c>
      <c r="AA29" s="674">
        <v>17.674</v>
      </c>
      <c r="AB29" s="674">
        <v>16.659</v>
      </c>
      <c r="AC29" s="845">
        <v>81.90977275271464</v>
      </c>
      <c r="AD29" s="844">
        <v>86.51351029639328</v>
      </c>
      <c r="AE29" s="684">
        <f t="shared" si="4"/>
        <v>-5.74289917392781</v>
      </c>
      <c r="AF29" s="663" t="s">
        <v>80</v>
      </c>
    </row>
    <row r="30" spans="1:32" s="679" customFormat="1" ht="12.75" customHeight="1">
      <c r="A30" s="671"/>
      <c r="B30" s="694" t="s">
        <v>92</v>
      </c>
      <c r="C30" s="695">
        <v>3.546</v>
      </c>
      <c r="D30" s="695">
        <v>6.076</v>
      </c>
      <c r="E30" s="698">
        <v>5.664</v>
      </c>
      <c r="F30" s="698">
        <v>5.692</v>
      </c>
      <c r="G30" s="698">
        <v>5.694</v>
      </c>
      <c r="H30" s="698">
        <v>5.397</v>
      </c>
      <c r="I30" s="698">
        <v>5.11</v>
      </c>
      <c r="J30" s="698">
        <v>4.809</v>
      </c>
      <c r="K30" s="698">
        <v>4.502</v>
      </c>
      <c r="L30" s="698">
        <v>4.568</v>
      </c>
      <c r="M30" s="698">
        <v>4.601</v>
      </c>
      <c r="N30" s="698">
        <v>4.329</v>
      </c>
      <c r="O30" s="697">
        <v>4.032</v>
      </c>
      <c r="P30" s="697">
        <v>3.992</v>
      </c>
      <c r="Q30" s="698">
        <v>3.925</v>
      </c>
      <c r="R30" s="698">
        <v>3.753</v>
      </c>
      <c r="S30" s="698">
        <v>3.752</v>
      </c>
      <c r="T30" s="698">
        <v>3.809</v>
      </c>
      <c r="U30" s="698">
        <v>3.876</v>
      </c>
      <c r="V30" s="698">
        <v>3.987</v>
      </c>
      <c r="W30" s="698">
        <v>4.213</v>
      </c>
      <c r="X30" s="698">
        <v>4.213</v>
      </c>
      <c r="Y30" s="698">
        <v>4.111</v>
      </c>
      <c r="Z30" s="698">
        <v>4.237</v>
      </c>
      <c r="AA30" s="698">
        <v>3.803</v>
      </c>
      <c r="AB30" s="698">
        <v>3.649</v>
      </c>
      <c r="AC30" s="845"/>
      <c r="AD30" s="844">
        <v>67.75342465753424</v>
      </c>
      <c r="AE30" s="701">
        <f t="shared" si="4"/>
        <v>-4.049434656849854</v>
      </c>
      <c r="AF30" s="694" t="s">
        <v>92</v>
      </c>
    </row>
    <row r="31" spans="1:32" ht="12.75" customHeight="1">
      <c r="A31" s="650"/>
      <c r="B31" s="663" t="s">
        <v>102</v>
      </c>
      <c r="C31" s="682">
        <v>17.793</v>
      </c>
      <c r="D31" s="682">
        <v>23.22</v>
      </c>
      <c r="E31" s="674">
        <v>30.582</v>
      </c>
      <c r="F31" s="674">
        <v>25.429</v>
      </c>
      <c r="G31" s="674">
        <v>24.269</v>
      </c>
      <c r="H31" s="674">
        <v>19.402</v>
      </c>
      <c r="I31" s="674">
        <v>18.313</v>
      </c>
      <c r="J31" s="674">
        <v>18.879</v>
      </c>
      <c r="K31" s="674">
        <v>18.356</v>
      </c>
      <c r="L31" s="674">
        <v>15.794</v>
      </c>
      <c r="M31" s="674">
        <v>13.422</v>
      </c>
      <c r="N31" s="674">
        <v>12.304</v>
      </c>
      <c r="O31" s="674">
        <v>11.632</v>
      </c>
      <c r="P31" s="674">
        <v>10.965</v>
      </c>
      <c r="Q31" s="674">
        <v>8.502</v>
      </c>
      <c r="R31" s="674">
        <v>8.497</v>
      </c>
      <c r="S31" s="674">
        <v>8.638</v>
      </c>
      <c r="T31" s="674">
        <v>7.985</v>
      </c>
      <c r="U31" s="674">
        <v>8.092</v>
      </c>
      <c r="V31" s="674">
        <v>7.476</v>
      </c>
      <c r="W31" s="674">
        <v>6.958</v>
      </c>
      <c r="X31" s="674">
        <v>6.128</v>
      </c>
      <c r="Y31" s="674">
        <v>5.437</v>
      </c>
      <c r="Z31" s="674">
        <v>5.063</v>
      </c>
      <c r="AA31" s="674">
        <v>4.55</v>
      </c>
      <c r="AB31" s="674">
        <v>4.382</v>
      </c>
      <c r="AC31" s="845">
        <v>94.59755030621172</v>
      </c>
      <c r="AD31" s="844">
        <v>96.4253798033959</v>
      </c>
      <c r="AE31" s="684">
        <f t="shared" si="4"/>
        <v>-3.6923076923076934</v>
      </c>
      <c r="AF31" s="663" t="s">
        <v>102</v>
      </c>
    </row>
    <row r="32" spans="1:32" ht="12.75" customHeight="1">
      <c r="A32" s="650"/>
      <c r="B32" s="694" t="s">
        <v>83</v>
      </c>
      <c r="C32" s="695">
        <v>1.38</v>
      </c>
      <c r="D32" s="695">
        <v>1.436</v>
      </c>
      <c r="E32" s="698">
        <v>1.429</v>
      </c>
      <c r="F32" s="698">
        <v>0.814</v>
      </c>
      <c r="G32" s="698">
        <v>0.547</v>
      </c>
      <c r="H32" s="698">
        <v>0.566</v>
      </c>
      <c r="I32" s="698">
        <v>0.59</v>
      </c>
      <c r="J32" s="698">
        <v>0.595</v>
      </c>
      <c r="K32" s="698">
        <v>0.613</v>
      </c>
      <c r="L32" s="698">
        <v>0.616</v>
      </c>
      <c r="M32" s="698">
        <v>0.645</v>
      </c>
      <c r="N32" s="698">
        <v>0.623</v>
      </c>
      <c r="O32" s="698">
        <v>0.705</v>
      </c>
      <c r="P32" s="698">
        <v>0.715</v>
      </c>
      <c r="Q32" s="698">
        <v>0.749</v>
      </c>
      <c r="R32" s="698">
        <v>0.777</v>
      </c>
      <c r="S32" s="698">
        <v>0.695</v>
      </c>
      <c r="T32" s="698">
        <v>0.716</v>
      </c>
      <c r="U32" s="698">
        <v>0.724</v>
      </c>
      <c r="V32" s="698">
        <v>0.74</v>
      </c>
      <c r="W32" s="698">
        <v>0.765</v>
      </c>
      <c r="X32" s="698">
        <v>0.773</v>
      </c>
      <c r="Y32" s="698">
        <v>0.729</v>
      </c>
      <c r="Z32" s="698">
        <v>0.689</v>
      </c>
      <c r="AA32" s="698">
        <v>0.659</v>
      </c>
      <c r="AB32" s="698">
        <v>0.679</v>
      </c>
      <c r="AC32" s="845">
        <v>83.87096774193549</v>
      </c>
      <c r="AD32" s="846">
        <v>98.29172141918528</v>
      </c>
      <c r="AE32" s="701">
        <f t="shared" si="4"/>
        <v>3.0349013657056076</v>
      </c>
      <c r="AF32" s="694" t="s">
        <v>83</v>
      </c>
    </row>
    <row r="33" spans="1:32" ht="12.75" customHeight="1">
      <c r="A33" s="650"/>
      <c r="B33" s="663" t="s">
        <v>85</v>
      </c>
      <c r="C33" s="682"/>
      <c r="D33" s="682"/>
      <c r="E33" s="674">
        <v>6.381</v>
      </c>
      <c r="F33" s="674">
        <v>6.002</v>
      </c>
      <c r="G33" s="674">
        <v>5.453</v>
      </c>
      <c r="H33" s="674">
        <v>4.569</v>
      </c>
      <c r="I33" s="674">
        <v>4.548</v>
      </c>
      <c r="J33" s="674">
        <v>4.202</v>
      </c>
      <c r="K33" s="674">
        <v>3.769</v>
      </c>
      <c r="L33" s="674">
        <v>3.095</v>
      </c>
      <c r="M33" s="674">
        <v>3.092</v>
      </c>
      <c r="N33" s="674">
        <v>2.968</v>
      </c>
      <c r="O33" s="674">
        <v>2.87</v>
      </c>
      <c r="P33" s="674">
        <v>2.805</v>
      </c>
      <c r="Q33" s="674">
        <v>2.682</v>
      </c>
      <c r="R33" s="674">
        <v>2.316</v>
      </c>
      <c r="S33" s="674">
        <v>2.228</v>
      </c>
      <c r="T33" s="674">
        <v>2.182</v>
      </c>
      <c r="U33" s="674">
        <v>2.213</v>
      </c>
      <c r="V33" s="674">
        <v>2.165</v>
      </c>
      <c r="W33" s="674">
        <v>2.296</v>
      </c>
      <c r="X33" s="674">
        <v>2.264</v>
      </c>
      <c r="Y33" s="674">
        <v>2.309</v>
      </c>
      <c r="Z33" s="674">
        <v>2.431</v>
      </c>
      <c r="AA33" s="674">
        <v>2.459</v>
      </c>
      <c r="AB33" s="674">
        <v>2.485</v>
      </c>
      <c r="AC33" s="845">
        <v>92.28855721393035</v>
      </c>
      <c r="AD33" s="844">
        <v>90.21469859620149</v>
      </c>
      <c r="AE33" s="684">
        <f t="shared" si="4"/>
        <v>1.0573403822692171</v>
      </c>
      <c r="AF33" s="663" t="s">
        <v>85</v>
      </c>
    </row>
    <row r="34" spans="1:32" ht="12.75" customHeight="1">
      <c r="A34" s="650"/>
      <c r="B34" s="694" t="s">
        <v>87</v>
      </c>
      <c r="C34" s="695">
        <v>2.156</v>
      </c>
      <c r="D34" s="695">
        <v>3.216</v>
      </c>
      <c r="E34" s="698">
        <v>3.331</v>
      </c>
      <c r="F34" s="698">
        <v>3.23</v>
      </c>
      <c r="G34" s="698">
        <v>3.057</v>
      </c>
      <c r="H34" s="698">
        <v>3.007</v>
      </c>
      <c r="I34" s="698">
        <v>3.037</v>
      </c>
      <c r="J34" s="698">
        <v>3.184</v>
      </c>
      <c r="K34" s="698">
        <v>3.254</v>
      </c>
      <c r="L34" s="698">
        <v>3.376</v>
      </c>
      <c r="M34" s="698">
        <v>3.377</v>
      </c>
      <c r="N34" s="698">
        <v>3.415</v>
      </c>
      <c r="O34" s="698">
        <v>3.405</v>
      </c>
      <c r="P34" s="698">
        <v>3.282</v>
      </c>
      <c r="Q34" s="698">
        <v>3.318</v>
      </c>
      <c r="R34" s="698">
        <v>3.338</v>
      </c>
      <c r="S34" s="698">
        <v>3.352</v>
      </c>
      <c r="T34" s="698">
        <v>3.478</v>
      </c>
      <c r="U34" s="698">
        <v>3.54</v>
      </c>
      <c r="V34" s="698">
        <v>3.778</v>
      </c>
      <c r="W34" s="698">
        <v>4.052</v>
      </c>
      <c r="X34" s="698">
        <v>3.876</v>
      </c>
      <c r="Y34" s="698">
        <v>3.959</v>
      </c>
      <c r="Z34" s="698">
        <v>3.882</v>
      </c>
      <c r="AA34" s="698">
        <v>4.035</v>
      </c>
      <c r="AB34" s="698">
        <v>4.053</v>
      </c>
      <c r="AC34" s="845">
        <v>43.84138785625775</v>
      </c>
      <c r="AD34" s="844">
        <v>31.063409819886505</v>
      </c>
      <c r="AE34" s="701">
        <f t="shared" si="4"/>
        <v>0.44609665427508105</v>
      </c>
      <c r="AF34" s="694" t="s">
        <v>87</v>
      </c>
    </row>
    <row r="35" spans="1:32" ht="12.75" customHeight="1">
      <c r="A35" s="650"/>
      <c r="B35" s="663" t="s">
        <v>88</v>
      </c>
      <c r="C35" s="682">
        <v>4.64</v>
      </c>
      <c r="D35" s="682">
        <v>6.998</v>
      </c>
      <c r="E35" s="674">
        <v>6.6</v>
      </c>
      <c r="F35" s="674">
        <v>5.985</v>
      </c>
      <c r="G35" s="674">
        <v>5.963</v>
      </c>
      <c r="H35" s="674">
        <v>6.422</v>
      </c>
      <c r="I35" s="674">
        <v>6.507</v>
      </c>
      <c r="J35" s="674">
        <v>6.839</v>
      </c>
      <c r="K35" s="674">
        <v>6.97</v>
      </c>
      <c r="L35" s="674">
        <v>7.039</v>
      </c>
      <c r="M35" s="674">
        <v>7.23</v>
      </c>
      <c r="N35" s="674">
        <v>7.701</v>
      </c>
      <c r="O35" s="674">
        <v>8.243</v>
      </c>
      <c r="P35" s="674">
        <v>8.732</v>
      </c>
      <c r="Q35" s="674">
        <v>8.874</v>
      </c>
      <c r="R35" s="674">
        <v>8.834</v>
      </c>
      <c r="S35" s="674">
        <v>8.634</v>
      </c>
      <c r="T35" s="674">
        <v>8.91</v>
      </c>
      <c r="U35" s="674">
        <v>9.617</v>
      </c>
      <c r="V35" s="674">
        <v>10.261</v>
      </c>
      <c r="W35" s="674">
        <v>11.146</v>
      </c>
      <c r="X35" s="674">
        <v>11.321</v>
      </c>
      <c r="Y35" s="674">
        <v>11.155</v>
      </c>
      <c r="Z35" s="674">
        <v>11.379</v>
      </c>
      <c r="AA35" s="674">
        <v>11.792</v>
      </c>
      <c r="AB35" s="674">
        <v>11.858</v>
      </c>
      <c r="AC35" s="845">
        <v>46.530332848464106</v>
      </c>
      <c r="AD35" s="844">
        <v>50</v>
      </c>
      <c r="AE35" s="684">
        <f t="shared" si="4"/>
        <v>0.5597014925373287</v>
      </c>
      <c r="AF35" s="663" t="s">
        <v>88</v>
      </c>
    </row>
    <row r="36" spans="1:32" ht="12.75" customHeight="1" thickBot="1">
      <c r="A36" s="650"/>
      <c r="B36" s="726" t="s">
        <v>13</v>
      </c>
      <c r="C36" s="849">
        <v>30.6</v>
      </c>
      <c r="D36" s="849">
        <v>30.5</v>
      </c>
      <c r="E36" s="850">
        <v>33.4</v>
      </c>
      <c r="F36" s="711">
        <v>32.7</v>
      </c>
      <c r="G36" s="711">
        <v>31.9</v>
      </c>
      <c r="H36" s="711">
        <v>30.6</v>
      </c>
      <c r="I36" s="711">
        <v>28.9</v>
      </c>
      <c r="J36" s="711">
        <f>30.039+0.2317</f>
        <v>30.2707</v>
      </c>
      <c r="K36" s="711">
        <f>32.135+0.2128</f>
        <v>32.3478</v>
      </c>
      <c r="L36" s="711">
        <f>34.66+0.2256</f>
        <v>34.8856</v>
      </c>
      <c r="M36" s="711">
        <f>36.28+0.2172</f>
        <v>36.4972</v>
      </c>
      <c r="N36" s="711">
        <f>38.472+0.2217</f>
        <v>38.6937</v>
      </c>
      <c r="O36" s="711">
        <f>38.179+0.2271</f>
        <v>38.4061</v>
      </c>
      <c r="P36" s="711">
        <f>39.141+0.2397</f>
        <v>39.3807</v>
      </c>
      <c r="Q36" s="711">
        <f>39.687+0.2363</f>
        <v>39.9233</v>
      </c>
      <c r="R36" s="711">
        <f>40.931+0.233</f>
        <v>41.163999999999994</v>
      </c>
      <c r="S36" s="711">
        <v>43.474</v>
      </c>
      <c r="T36" s="711">
        <v>44.642</v>
      </c>
      <c r="U36" s="711">
        <v>47.297</v>
      </c>
      <c r="V36" s="711">
        <v>50.474</v>
      </c>
      <c r="W36" s="711">
        <v>53.002</v>
      </c>
      <c r="X36" s="711">
        <v>52.765</v>
      </c>
      <c r="Y36" s="711">
        <v>55.831</v>
      </c>
      <c r="Z36" s="711">
        <v>58.606</v>
      </c>
      <c r="AA36" s="711">
        <v>60.955</v>
      </c>
      <c r="AB36" s="711">
        <v>61.976</v>
      </c>
      <c r="AC36" s="851">
        <v>96.1894919869429</v>
      </c>
      <c r="AD36" s="852">
        <v>95.48387096774194</v>
      </c>
      <c r="AE36" s="728">
        <f t="shared" si="4"/>
        <v>1.6750061520794048</v>
      </c>
      <c r="AF36" s="726" t="s">
        <v>13</v>
      </c>
    </row>
    <row r="37" spans="1:32" ht="12.75" customHeight="1">
      <c r="A37" s="650"/>
      <c r="B37" s="663" t="s">
        <v>310</v>
      </c>
      <c r="C37" s="684">
        <v>0.253</v>
      </c>
      <c r="D37" s="684">
        <v>0.369</v>
      </c>
      <c r="E37" s="674">
        <v>0.779</v>
      </c>
      <c r="F37" s="674">
        <v>0.318</v>
      </c>
      <c r="G37" s="674">
        <v>0.191</v>
      </c>
      <c r="H37" s="674">
        <v>0.223</v>
      </c>
      <c r="I37" s="674">
        <v>0.215</v>
      </c>
      <c r="J37" s="674">
        <v>0.197</v>
      </c>
      <c r="K37" s="674">
        <v>0.168</v>
      </c>
      <c r="L37" s="674">
        <v>0.095</v>
      </c>
      <c r="M37" s="674">
        <v>0.116</v>
      </c>
      <c r="N37" s="674">
        <v>0.121</v>
      </c>
      <c r="O37" s="674">
        <v>0.125</v>
      </c>
      <c r="P37" s="674">
        <v>0.138</v>
      </c>
      <c r="Q37" s="674">
        <v>0.123</v>
      </c>
      <c r="R37" s="674">
        <v>0.105</v>
      </c>
      <c r="S37" s="674">
        <v>0.089</v>
      </c>
      <c r="T37" s="674">
        <v>0.073</v>
      </c>
      <c r="U37" s="674">
        <v>0.08</v>
      </c>
      <c r="V37" s="674">
        <v>0.051</v>
      </c>
      <c r="W37" s="674">
        <v>0.041</v>
      </c>
      <c r="X37" s="674">
        <v>0.032</v>
      </c>
      <c r="Y37" s="674">
        <v>0.019</v>
      </c>
      <c r="Z37" s="674">
        <v>0.018</v>
      </c>
      <c r="AA37" s="674">
        <v>0.016</v>
      </c>
      <c r="AB37" s="674">
        <v>0.012</v>
      </c>
      <c r="AC37" s="843"/>
      <c r="AD37" s="844"/>
      <c r="AE37" s="684">
        <f t="shared" si="4"/>
        <v>-25</v>
      </c>
      <c r="AF37" s="663" t="s">
        <v>310</v>
      </c>
    </row>
    <row r="38" spans="1:32" ht="12.75" customHeight="1">
      <c r="A38" s="650"/>
      <c r="B38" s="694" t="s">
        <v>244</v>
      </c>
      <c r="C38" s="695"/>
      <c r="D38" s="695"/>
      <c r="E38" s="698"/>
      <c r="F38" s="698"/>
      <c r="G38" s="698"/>
      <c r="H38" s="698"/>
      <c r="I38" s="698"/>
      <c r="J38" s="698"/>
      <c r="K38" s="698"/>
      <c r="L38" s="698"/>
      <c r="M38" s="698"/>
      <c r="N38" s="698"/>
      <c r="O38" s="698"/>
      <c r="P38" s="698"/>
      <c r="Q38" s="698"/>
      <c r="R38" s="698"/>
      <c r="S38" s="698"/>
      <c r="T38" s="698"/>
      <c r="U38" s="698"/>
      <c r="V38" s="698"/>
      <c r="W38" s="698"/>
      <c r="X38" s="698"/>
      <c r="Y38" s="698">
        <v>0.09066</v>
      </c>
      <c r="Z38" s="698">
        <v>0.0651</v>
      </c>
      <c r="AA38" s="698">
        <v>0.062377</v>
      </c>
      <c r="AB38" s="698">
        <v>0.073</v>
      </c>
      <c r="AC38" s="853"/>
      <c r="AD38" s="854"/>
      <c r="AE38" s="701">
        <f t="shared" si="4"/>
        <v>17.030315661221266</v>
      </c>
      <c r="AF38" s="694" t="s">
        <v>244</v>
      </c>
    </row>
    <row r="39" spans="1:32" s="679" customFormat="1" ht="12.75" customHeight="1">
      <c r="A39" s="671"/>
      <c r="B39" s="663" t="s">
        <v>149</v>
      </c>
      <c r="C39" s="672"/>
      <c r="D39" s="672"/>
      <c r="E39" s="673"/>
      <c r="F39" s="674"/>
      <c r="G39" s="674"/>
      <c r="H39" s="674"/>
      <c r="I39" s="674"/>
      <c r="J39" s="675">
        <v>0.1</v>
      </c>
      <c r="K39" s="675">
        <v>0.1</v>
      </c>
      <c r="L39" s="675">
        <v>0.1</v>
      </c>
      <c r="M39" s="675">
        <v>0.1</v>
      </c>
      <c r="N39" s="675">
        <v>0.1</v>
      </c>
      <c r="O39" s="675">
        <v>0.1</v>
      </c>
      <c r="P39" s="674">
        <v>0.133</v>
      </c>
      <c r="Q39" s="674">
        <v>0.098</v>
      </c>
      <c r="R39" s="674">
        <v>0.092</v>
      </c>
      <c r="S39" s="674">
        <v>0.094</v>
      </c>
      <c r="T39" s="674">
        <v>0.094</v>
      </c>
      <c r="U39" s="674">
        <v>0.105</v>
      </c>
      <c r="V39" s="674">
        <v>0.109</v>
      </c>
      <c r="W39" s="674">
        <v>0.148</v>
      </c>
      <c r="X39" s="674">
        <v>0.154</v>
      </c>
      <c r="Y39" s="674">
        <f>0.155</f>
        <v>0.155</v>
      </c>
      <c r="Z39" s="674">
        <f>0.145</f>
        <v>0.145</v>
      </c>
      <c r="AA39" s="674">
        <f>0.099</f>
        <v>0.099</v>
      </c>
      <c r="AB39" s="674">
        <v>0.08</v>
      </c>
      <c r="AC39" s="853"/>
      <c r="AD39" s="854"/>
      <c r="AE39" s="684">
        <f t="shared" si="4"/>
        <v>-19.191919191919197</v>
      </c>
      <c r="AF39" s="663" t="s">
        <v>149</v>
      </c>
    </row>
    <row r="40" spans="1:32" s="679" customFormat="1" ht="12.75" customHeight="1">
      <c r="A40" s="671"/>
      <c r="B40" s="694" t="s">
        <v>245</v>
      </c>
      <c r="C40" s="762"/>
      <c r="D40" s="762"/>
      <c r="E40" s="763"/>
      <c r="F40" s="698"/>
      <c r="G40" s="698"/>
      <c r="H40" s="698"/>
      <c r="I40" s="698"/>
      <c r="J40" s="697"/>
      <c r="K40" s="697"/>
      <c r="L40" s="697"/>
      <c r="M40" s="697"/>
      <c r="N40" s="697"/>
      <c r="O40" s="697"/>
      <c r="P40" s="698"/>
      <c r="Q40" s="698"/>
      <c r="R40" s="698"/>
      <c r="S40" s="698"/>
      <c r="T40" s="698"/>
      <c r="U40" s="698"/>
      <c r="V40" s="698"/>
      <c r="W40" s="698">
        <v>0.583</v>
      </c>
      <c r="X40" s="698">
        <v>0.522</v>
      </c>
      <c r="Y40" s="698">
        <v>0.522</v>
      </c>
      <c r="Z40" s="698">
        <v>0.541</v>
      </c>
      <c r="AA40" s="698">
        <v>0.54</v>
      </c>
      <c r="AB40" s="698">
        <v>0.612</v>
      </c>
      <c r="AC40" s="853"/>
      <c r="AD40" s="854"/>
      <c r="AE40" s="701">
        <f t="shared" si="4"/>
        <v>13.333333333333329</v>
      </c>
      <c r="AF40" s="694" t="s">
        <v>245</v>
      </c>
    </row>
    <row r="41" spans="1:32" ht="12.75" customHeight="1">
      <c r="A41" s="650"/>
      <c r="B41" s="717" t="s">
        <v>150</v>
      </c>
      <c r="C41" s="682">
        <v>5.561</v>
      </c>
      <c r="D41" s="682">
        <v>6.011</v>
      </c>
      <c r="E41" s="674">
        <v>6.41</v>
      </c>
      <c r="F41" s="674">
        <v>6.048</v>
      </c>
      <c r="G41" s="674">
        <v>6.259</v>
      </c>
      <c r="H41" s="674">
        <v>7.147</v>
      </c>
      <c r="I41" s="674">
        <v>6.335</v>
      </c>
      <c r="J41" s="674">
        <v>5.797</v>
      </c>
      <c r="K41" s="674">
        <v>5.229</v>
      </c>
      <c r="L41" s="674">
        <v>5.84</v>
      </c>
      <c r="M41" s="674">
        <v>6.16</v>
      </c>
      <c r="N41" s="674">
        <v>6.146</v>
      </c>
      <c r="O41" s="674">
        <v>5.832</v>
      </c>
      <c r="P41" s="674">
        <v>5.568</v>
      </c>
      <c r="Q41" s="674">
        <v>5.204</v>
      </c>
      <c r="R41" s="674">
        <v>5.878</v>
      </c>
      <c r="S41" s="674">
        <v>5.237</v>
      </c>
      <c r="T41" s="674">
        <v>5.036</v>
      </c>
      <c r="U41" s="674">
        <v>5.277</v>
      </c>
      <c r="V41" s="674">
        <v>5.553</v>
      </c>
      <c r="W41" s="674">
        <v>5.097</v>
      </c>
      <c r="X41" s="674">
        <v>5.374</v>
      </c>
      <c r="Y41" s="674">
        <v>5.491</v>
      </c>
      <c r="Z41" s="674">
        <f>5.882</f>
        <v>5.882</v>
      </c>
      <c r="AA41" s="674">
        <v>4.598</v>
      </c>
      <c r="AB41" s="674">
        <v>3.775</v>
      </c>
      <c r="AC41" s="853"/>
      <c r="AD41" s="854"/>
      <c r="AE41" s="722">
        <f t="shared" si="4"/>
        <v>-17.899086559373643</v>
      </c>
      <c r="AF41" s="717" t="s">
        <v>150</v>
      </c>
    </row>
    <row r="42" spans="1:32" s="679" customFormat="1" ht="12.75" customHeight="1">
      <c r="A42" s="671"/>
      <c r="B42" s="694" t="s">
        <v>151</v>
      </c>
      <c r="C42" s="808" t="s">
        <v>146</v>
      </c>
      <c r="D42" s="808" t="s">
        <v>146</v>
      </c>
      <c r="E42" s="809" t="s">
        <v>146</v>
      </c>
      <c r="F42" s="809" t="s">
        <v>146</v>
      </c>
      <c r="G42" s="809" t="s">
        <v>146</v>
      </c>
      <c r="H42" s="809" t="s">
        <v>146</v>
      </c>
      <c r="I42" s="809" t="s">
        <v>146</v>
      </c>
      <c r="J42" s="809" t="s">
        <v>146</v>
      </c>
      <c r="K42" s="809" t="s">
        <v>146</v>
      </c>
      <c r="L42" s="809" t="s">
        <v>146</v>
      </c>
      <c r="M42" s="809" t="s">
        <v>146</v>
      </c>
      <c r="N42" s="809" t="s">
        <v>146</v>
      </c>
      <c r="O42" s="809" t="s">
        <v>146</v>
      </c>
      <c r="P42" s="809" t="s">
        <v>146</v>
      </c>
      <c r="Q42" s="809" t="s">
        <v>146</v>
      </c>
      <c r="R42" s="809" t="s">
        <v>146</v>
      </c>
      <c r="S42" s="809" t="s">
        <v>146</v>
      </c>
      <c r="T42" s="809" t="s">
        <v>146</v>
      </c>
      <c r="U42" s="809" t="s">
        <v>146</v>
      </c>
      <c r="V42" s="809" t="s">
        <v>146</v>
      </c>
      <c r="W42" s="809" t="s">
        <v>146</v>
      </c>
      <c r="X42" s="809" t="s">
        <v>146</v>
      </c>
      <c r="Y42" s="809" t="s">
        <v>146</v>
      </c>
      <c r="Z42" s="809" t="s">
        <v>146</v>
      </c>
      <c r="AA42" s="809" t="s">
        <v>146</v>
      </c>
      <c r="AB42" s="809" t="s">
        <v>146</v>
      </c>
      <c r="AC42" s="843" t="s">
        <v>146</v>
      </c>
      <c r="AD42" s="855" t="s">
        <v>146</v>
      </c>
      <c r="AE42" s="810" t="s">
        <v>146</v>
      </c>
      <c r="AF42" s="694" t="s">
        <v>151</v>
      </c>
    </row>
    <row r="43" spans="1:32" ht="12.75" customHeight="1">
      <c r="A43" s="650"/>
      <c r="B43" s="663" t="s">
        <v>152</v>
      </c>
      <c r="C43" s="682">
        <v>1.86</v>
      </c>
      <c r="D43" s="682">
        <v>2.394</v>
      </c>
      <c r="E43" s="674">
        <v>2.104</v>
      </c>
      <c r="F43" s="674">
        <v>2.15</v>
      </c>
      <c r="G43" s="674">
        <v>2.256</v>
      </c>
      <c r="H43" s="674">
        <v>2.316</v>
      </c>
      <c r="I43" s="674">
        <v>2.398</v>
      </c>
      <c r="J43" s="674">
        <v>2.381</v>
      </c>
      <c r="K43" s="674">
        <v>2.449</v>
      </c>
      <c r="L43" s="674">
        <v>2.561</v>
      </c>
      <c r="M43" s="674">
        <v>2.59</v>
      </c>
      <c r="N43" s="674">
        <v>2.674</v>
      </c>
      <c r="O43" s="674">
        <v>2.635</v>
      </c>
      <c r="P43" s="674">
        <v>2.677</v>
      </c>
      <c r="Q43" s="674">
        <v>2.477</v>
      </c>
      <c r="R43" s="674">
        <v>2.381</v>
      </c>
      <c r="S43" s="674">
        <v>2.62</v>
      </c>
      <c r="T43" s="674">
        <v>2.723</v>
      </c>
      <c r="U43" s="674">
        <v>2.833</v>
      </c>
      <c r="V43" s="674">
        <v>2.971</v>
      </c>
      <c r="W43" s="674">
        <f>2.705+0.354</f>
        <v>3.059</v>
      </c>
      <c r="X43" s="674">
        <f>2.669+0.343</f>
        <v>3.012</v>
      </c>
      <c r="Y43" s="674">
        <f>2.666+0.397</f>
        <v>3.0629999999999997</v>
      </c>
      <c r="Z43" s="674">
        <f>2.641+0.371</f>
        <v>3.012</v>
      </c>
      <c r="AA43" s="674">
        <f>2.736+0.386</f>
        <v>3.1220000000000003</v>
      </c>
      <c r="AB43" s="674">
        <v>3.26</v>
      </c>
      <c r="AC43" s="845">
        <v>74.14116177389131</v>
      </c>
      <c r="AD43" s="844">
        <v>74.57783236106846</v>
      </c>
      <c r="AE43" s="684">
        <f>AB43/AA43*100-100</f>
        <v>4.420243433696342</v>
      </c>
      <c r="AF43" s="663" t="s">
        <v>152</v>
      </c>
    </row>
    <row r="44" spans="1:32" s="679" customFormat="1" ht="12.75" customHeight="1">
      <c r="A44" s="671"/>
      <c r="B44" s="726" t="s">
        <v>153</v>
      </c>
      <c r="C44" s="727">
        <v>9.339</v>
      </c>
      <c r="D44" s="727">
        <v>9.964</v>
      </c>
      <c r="E44" s="711">
        <v>12.68</v>
      </c>
      <c r="F44" s="711">
        <v>13.83</v>
      </c>
      <c r="G44" s="711">
        <v>13.21</v>
      </c>
      <c r="H44" s="711">
        <v>13.38</v>
      </c>
      <c r="I44" s="711">
        <v>13.84</v>
      </c>
      <c r="J44" s="711">
        <v>11.71</v>
      </c>
      <c r="K44" s="711">
        <v>11.89</v>
      </c>
      <c r="L44" s="711">
        <v>12.05</v>
      </c>
      <c r="M44" s="711">
        <v>12.15</v>
      </c>
      <c r="N44" s="711">
        <v>12.5</v>
      </c>
      <c r="O44" s="711">
        <v>12.62</v>
      </c>
      <c r="P44" s="711">
        <v>13.301</v>
      </c>
      <c r="Q44" s="711">
        <v>14.147</v>
      </c>
      <c r="R44" s="711">
        <v>14.509</v>
      </c>
      <c r="S44" s="711">
        <v>14.914</v>
      </c>
      <c r="T44" s="711">
        <v>16.144</v>
      </c>
      <c r="U44" s="711">
        <v>16.578</v>
      </c>
      <c r="V44" s="711">
        <v>17.434</v>
      </c>
      <c r="W44" s="711">
        <v>17.775</v>
      </c>
      <c r="X44" s="711">
        <f>18.571</f>
        <v>18.571</v>
      </c>
      <c r="Y44" s="711">
        <f>19.177</f>
        <v>19.177</v>
      </c>
      <c r="Z44" s="711">
        <v>19.471</v>
      </c>
      <c r="AA44" s="711">
        <f>19.262</f>
        <v>19.262</v>
      </c>
      <c r="AB44" s="711">
        <v>19.368</v>
      </c>
      <c r="AC44" s="856"/>
      <c r="AD44" s="857"/>
      <c r="AE44" s="728">
        <f>AB44/AA44*100-100</f>
        <v>0.5503063025646355</v>
      </c>
      <c r="AF44" s="726" t="s">
        <v>153</v>
      </c>
    </row>
    <row r="45" spans="2:32" ht="29.25" customHeight="1">
      <c r="B45" s="1101" t="s">
        <v>266</v>
      </c>
      <c r="C45" s="1101"/>
      <c r="D45" s="1101"/>
      <c r="E45" s="1101"/>
      <c r="F45" s="1101"/>
      <c r="G45" s="1101"/>
      <c r="H45" s="1101"/>
      <c r="I45" s="1101"/>
      <c r="J45" s="1101"/>
      <c r="K45" s="1101"/>
      <c r="L45" s="1101"/>
      <c r="M45" s="1101"/>
      <c r="N45" s="1101"/>
      <c r="O45" s="1101"/>
      <c r="P45" s="1101"/>
      <c r="Q45" s="1101"/>
      <c r="R45" s="1101"/>
      <c r="S45" s="1101"/>
      <c r="T45" s="1101"/>
      <c r="U45" s="1101"/>
      <c r="V45" s="1101"/>
      <c r="W45" s="1101"/>
      <c r="X45" s="1101"/>
      <c r="Y45" s="1101"/>
      <c r="Z45" s="1101"/>
      <c r="AA45" s="1101"/>
      <c r="AB45" s="1101"/>
      <c r="AC45" s="1101"/>
      <c r="AD45" s="1101"/>
      <c r="AE45" s="1101"/>
      <c r="AF45" s="1101"/>
    </row>
    <row r="46" spans="2:32" ht="15.75" customHeight="1">
      <c r="B46" s="859" t="s">
        <v>267</v>
      </c>
      <c r="C46" s="858"/>
      <c r="D46" s="858"/>
      <c r="E46" s="858"/>
      <c r="F46" s="858"/>
      <c r="G46" s="858"/>
      <c r="H46" s="858"/>
      <c r="I46" s="858"/>
      <c r="J46" s="858"/>
      <c r="K46" s="858"/>
      <c r="L46" s="858"/>
      <c r="M46" s="858"/>
      <c r="N46" s="858"/>
      <c r="O46" s="858"/>
      <c r="P46" s="858"/>
      <c r="Q46" s="858"/>
      <c r="R46" s="858"/>
      <c r="S46" s="858"/>
      <c r="T46" s="858"/>
      <c r="U46" s="858"/>
      <c r="V46" s="858"/>
      <c r="W46" s="858"/>
      <c r="X46" s="858"/>
      <c r="Y46" s="858"/>
      <c r="Z46" s="858"/>
      <c r="AA46" s="858"/>
      <c r="AB46" s="858"/>
      <c r="AC46" s="858"/>
      <c r="AD46" s="858"/>
      <c r="AE46" s="858"/>
      <c r="AF46" s="858"/>
    </row>
    <row r="47" ht="11.25">
      <c r="B47" s="767" t="s">
        <v>329</v>
      </c>
    </row>
    <row r="51" spans="23:24" ht="15">
      <c r="W51" s="487"/>
      <c r="X51" s="488"/>
    </row>
    <row r="52" spans="23:24" ht="15">
      <c r="W52" s="487"/>
      <c r="X52" s="488"/>
    </row>
  </sheetData>
  <sheetProtection/>
  <mergeCells count="2">
    <mergeCell ref="B2:AF2"/>
    <mergeCell ref="B45:AF4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H37"/>
  <sheetViews>
    <sheetView zoomScalePageLayoutView="0" workbookViewId="0" topLeftCell="O1">
      <selection activeCell="Z39" sqref="Z39"/>
    </sheetView>
  </sheetViews>
  <sheetFormatPr defaultColWidth="9.140625" defaultRowHeight="12.75"/>
  <cols>
    <col min="1" max="1" width="12.00390625" style="0" customWidth="1"/>
    <col min="31" max="31" width="8.00390625" style="0" customWidth="1"/>
    <col min="32" max="32" width="3.7109375" style="0" customWidth="1"/>
  </cols>
  <sheetData>
    <row r="1" ht="14.25" customHeight="1">
      <c r="AD1" s="97" t="s">
        <v>154</v>
      </c>
    </row>
    <row r="2" spans="1:30" ht="19.5" customHeight="1">
      <c r="A2" s="1102" t="s">
        <v>155</v>
      </c>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row>
    <row r="3" spans="1:30" ht="19.5" customHeight="1">
      <c r="A3" s="1103" t="s">
        <v>156</v>
      </c>
      <c r="B3" s="1103"/>
      <c r="C3" s="1103"/>
      <c r="D3" s="1103"/>
      <c r="E3" s="1103"/>
      <c r="F3" s="1103"/>
      <c r="G3" s="1103"/>
      <c r="H3" s="1103"/>
      <c r="I3" s="1103"/>
      <c r="J3" s="1103"/>
      <c r="K3" s="1103"/>
      <c r="L3" s="1103"/>
      <c r="M3" s="1103"/>
      <c r="N3" s="1103"/>
      <c r="O3" s="1103"/>
      <c r="P3" s="1103"/>
      <c r="Q3" s="1103"/>
      <c r="R3" s="1103"/>
      <c r="S3" s="1103"/>
      <c r="T3" s="1103"/>
      <c r="U3" s="1103"/>
      <c r="V3" s="1103"/>
      <c r="W3" s="1103"/>
      <c r="X3" s="1103"/>
      <c r="Y3" s="1103"/>
      <c r="Z3" s="1103"/>
      <c r="AA3" s="1103"/>
      <c r="AB3" s="1103"/>
      <c r="AC3" s="1103"/>
      <c r="AD3" s="1103"/>
    </row>
    <row r="4" spans="1:30" ht="12.75">
      <c r="A4" s="1104">
        <v>2013</v>
      </c>
      <c r="B4" s="1104"/>
      <c r="C4" s="1104"/>
      <c r="D4" s="1104"/>
      <c r="E4" s="1104"/>
      <c r="F4" s="1104"/>
      <c r="G4" s="1104"/>
      <c r="H4" s="1104"/>
      <c r="I4" s="1104"/>
      <c r="J4" s="1104"/>
      <c r="K4" s="1104"/>
      <c r="L4" s="1104"/>
      <c r="M4" s="1104"/>
      <c r="N4" s="1104"/>
      <c r="O4" s="1104"/>
      <c r="P4" s="1104"/>
      <c r="Q4" s="1104"/>
      <c r="R4" s="1104"/>
      <c r="S4" s="1104"/>
      <c r="T4" s="1104"/>
      <c r="U4" s="1104"/>
      <c r="V4" s="1104"/>
      <c r="W4" s="1104"/>
      <c r="X4" s="1104"/>
      <c r="Y4" s="1104"/>
      <c r="Z4" s="1104"/>
      <c r="AA4" s="1104"/>
      <c r="AB4" s="1104"/>
      <c r="AC4" s="1104"/>
      <c r="AD4" s="1104"/>
    </row>
    <row r="5" spans="2:33" ht="13.5" customHeight="1">
      <c r="B5" s="107" t="s">
        <v>157</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9"/>
      <c r="AD5" s="129" t="s">
        <v>260</v>
      </c>
      <c r="AE5" s="558">
        <f>SUM(AE7:AE34)</f>
        <v>843.2967309999998</v>
      </c>
      <c r="AG5" s="94">
        <v>843.2967309999998</v>
      </c>
    </row>
    <row r="6" spans="1:33" ht="24" customHeight="1">
      <c r="A6" s="110" t="s">
        <v>158</v>
      </c>
      <c r="B6" s="111" t="s">
        <v>1</v>
      </c>
      <c r="C6" s="112" t="s">
        <v>103</v>
      </c>
      <c r="D6" s="112" t="s">
        <v>62</v>
      </c>
      <c r="E6" s="112" t="s">
        <v>2</v>
      </c>
      <c r="F6" s="112" t="s">
        <v>3</v>
      </c>
      <c r="G6" s="112" t="s">
        <v>65</v>
      </c>
      <c r="H6" s="112" t="s">
        <v>6</v>
      </c>
      <c r="I6" s="112" t="s">
        <v>159</v>
      </c>
      <c r="J6" s="112" t="s">
        <v>4</v>
      </c>
      <c r="K6" s="112" t="s">
        <v>5</v>
      </c>
      <c r="L6" s="112" t="s">
        <v>165</v>
      </c>
      <c r="M6" s="112" t="s">
        <v>7</v>
      </c>
      <c r="N6" s="112" t="s">
        <v>70</v>
      </c>
      <c r="O6" s="112" t="s">
        <v>74</v>
      </c>
      <c r="P6" s="112" t="s">
        <v>75</v>
      </c>
      <c r="Q6" s="112" t="s">
        <v>160</v>
      </c>
      <c r="R6" s="112" t="s">
        <v>79</v>
      </c>
      <c r="S6" s="112" t="s">
        <v>161</v>
      </c>
      <c r="T6" s="112" t="s">
        <v>162</v>
      </c>
      <c r="U6" s="112" t="s">
        <v>10</v>
      </c>
      <c r="V6" s="112" t="s">
        <v>82</v>
      </c>
      <c r="W6" s="112" t="s">
        <v>11</v>
      </c>
      <c r="X6" s="112" t="s">
        <v>104</v>
      </c>
      <c r="Y6" s="112" t="s">
        <v>84</v>
      </c>
      <c r="Z6" s="112" t="s">
        <v>163</v>
      </c>
      <c r="AA6" s="112" t="s">
        <v>27</v>
      </c>
      <c r="AB6" s="112" t="s">
        <v>12</v>
      </c>
      <c r="AC6" s="113" t="s">
        <v>164</v>
      </c>
      <c r="AD6" s="133" t="s">
        <v>89</v>
      </c>
      <c r="AE6" s="558">
        <f>AE26+AE7+AE11+AE10+AE14+AE15+AE32+AE16+AE13+AE18+AE22+AE25+AE28+AE33+AE34</f>
        <v>772.6634159999998</v>
      </c>
      <c r="AG6" s="94">
        <v>772.6634159999998</v>
      </c>
    </row>
    <row r="7" spans="1:34" ht="15" customHeight="1">
      <c r="A7" s="115" t="s">
        <v>1</v>
      </c>
      <c r="B7" s="489">
        <v>40.35</v>
      </c>
      <c r="C7" s="490">
        <v>151.462</v>
      </c>
      <c r="D7" s="490">
        <v>250.381</v>
      </c>
      <c r="E7" s="490">
        <v>479.699</v>
      </c>
      <c r="F7" s="490">
        <v>1493.87</v>
      </c>
      <c r="G7" s="490">
        <v>48.064</v>
      </c>
      <c r="H7" s="490">
        <v>422.147</v>
      </c>
      <c r="I7" s="490">
        <v>793.24</v>
      </c>
      <c r="J7" s="490">
        <v>4468.087</v>
      </c>
      <c r="K7" s="490">
        <v>1795.306</v>
      </c>
      <c r="L7" s="490">
        <v>129.562</v>
      </c>
      <c r="M7" s="490">
        <v>2956.822</v>
      </c>
      <c r="N7" s="490">
        <v>56.547</v>
      </c>
      <c r="O7" s="490">
        <v>107.33</v>
      </c>
      <c r="P7" s="490">
        <v>112.341</v>
      </c>
      <c r="Q7" s="490">
        <v>1.343</v>
      </c>
      <c r="R7" s="490">
        <v>423.048</v>
      </c>
      <c r="S7" s="490">
        <v>82.535</v>
      </c>
      <c r="T7" s="490">
        <v>207.928</v>
      </c>
      <c r="U7" s="490">
        <v>413.047</v>
      </c>
      <c r="V7" s="490">
        <v>427.369</v>
      </c>
      <c r="W7" s="490">
        <v>820.189</v>
      </c>
      <c r="X7" s="490">
        <v>297.628</v>
      </c>
      <c r="Y7" s="490">
        <v>87.119</v>
      </c>
      <c r="Z7" s="490">
        <v>64.488</v>
      </c>
      <c r="AA7" s="490">
        <v>183.121</v>
      </c>
      <c r="AB7" s="490">
        <v>424.57</v>
      </c>
      <c r="AC7" s="490">
        <v>1286.71</v>
      </c>
      <c r="AD7" s="365" t="s">
        <v>1</v>
      </c>
      <c r="AE7" s="558">
        <f>SUM(B7:AC7)/1000</f>
        <v>18.024303000000003</v>
      </c>
      <c r="AF7" s="106" t="s">
        <v>60</v>
      </c>
      <c r="AG7" s="94">
        <v>17.767418000000006</v>
      </c>
      <c r="AH7" s="106" t="s">
        <v>81</v>
      </c>
    </row>
    <row r="8" spans="1:34" ht="15" customHeight="1">
      <c r="A8" s="115" t="s">
        <v>103</v>
      </c>
      <c r="B8" s="491">
        <v>160.038</v>
      </c>
      <c r="C8" s="489">
        <v>182.414</v>
      </c>
      <c r="D8" s="491">
        <v>210.016</v>
      </c>
      <c r="E8" s="491">
        <v>77.943</v>
      </c>
      <c r="F8" s="491">
        <v>1313.87</v>
      </c>
      <c r="G8" s="491">
        <v>23.15</v>
      </c>
      <c r="H8" s="491">
        <v>28.399</v>
      </c>
      <c r="I8" s="491">
        <v>89.731</v>
      </c>
      <c r="J8" s="491">
        <v>268.687</v>
      </c>
      <c r="K8" s="491">
        <v>201.543</v>
      </c>
      <c r="L8" s="491">
        <v>0.629</v>
      </c>
      <c r="M8" s="491">
        <v>337.341</v>
      </c>
      <c r="N8" s="491">
        <v>59.382</v>
      </c>
      <c r="O8" s="491">
        <v>19.985</v>
      </c>
      <c r="P8" s="491">
        <v>29.187</v>
      </c>
      <c r="Q8" s="491">
        <v>25.234</v>
      </c>
      <c r="R8" s="491">
        <v>35.133</v>
      </c>
      <c r="S8" s="491">
        <v>14.576</v>
      </c>
      <c r="T8" s="491">
        <v>207.203</v>
      </c>
      <c r="U8" s="491">
        <v>430.914</v>
      </c>
      <c r="V8" s="491">
        <v>249.725</v>
      </c>
      <c r="W8" s="491">
        <v>0.585</v>
      </c>
      <c r="X8" s="491">
        <v>49.527</v>
      </c>
      <c r="Y8" s="491">
        <v>3.55</v>
      </c>
      <c r="Z8" s="491">
        <v>70.996</v>
      </c>
      <c r="AA8" s="491">
        <v>50.8</v>
      </c>
      <c r="AB8" s="491">
        <v>42.35</v>
      </c>
      <c r="AC8" s="491">
        <v>978.78</v>
      </c>
      <c r="AD8" s="116" t="s">
        <v>103</v>
      </c>
      <c r="AE8" s="558">
        <f aca="true" t="shared" si="0" ref="AE8:AE34">SUM(B8:AC8)/1000</f>
        <v>5.161687999999999</v>
      </c>
      <c r="AF8" s="106" t="s">
        <v>101</v>
      </c>
      <c r="AG8" s="94">
        <v>18.024303000000003</v>
      </c>
      <c r="AH8" s="106" t="s">
        <v>60</v>
      </c>
    </row>
    <row r="9" spans="1:34" ht="15" customHeight="1">
      <c r="A9" s="115" t="s">
        <v>62</v>
      </c>
      <c r="B9" s="490">
        <v>250.392</v>
      </c>
      <c r="C9" s="490">
        <v>208.703</v>
      </c>
      <c r="D9" s="489">
        <v>82.965</v>
      </c>
      <c r="E9" s="490">
        <v>221.995</v>
      </c>
      <c r="F9" s="490">
        <v>1068.243</v>
      </c>
      <c r="G9" s="490">
        <v>0.785</v>
      </c>
      <c r="H9" s="490">
        <v>106.162</v>
      </c>
      <c r="I9" s="490">
        <v>583.747</v>
      </c>
      <c r="J9" s="490">
        <v>665.565</v>
      </c>
      <c r="K9" s="490">
        <v>964.682</v>
      </c>
      <c r="L9" s="490">
        <v>38.536</v>
      </c>
      <c r="M9" s="490">
        <v>883.765</v>
      </c>
      <c r="N9" s="490">
        <v>23.113</v>
      </c>
      <c r="O9" s="490">
        <v>26.313</v>
      </c>
      <c r="P9" s="490">
        <v>3.281</v>
      </c>
      <c r="Q9" s="490">
        <v>0.112</v>
      </c>
      <c r="R9" s="490">
        <v>62.429</v>
      </c>
      <c r="S9" s="490">
        <v>12.028</v>
      </c>
      <c r="T9" s="490">
        <v>519.45</v>
      </c>
      <c r="U9" s="490">
        <v>159.72</v>
      </c>
      <c r="V9" s="490">
        <v>154.475</v>
      </c>
      <c r="W9" s="490">
        <v>100.51</v>
      </c>
      <c r="X9" s="490">
        <v>76.968</v>
      </c>
      <c r="Y9" s="490">
        <v>0.025</v>
      </c>
      <c r="Z9" s="490">
        <v>56.23</v>
      </c>
      <c r="AA9" s="490">
        <v>181.215</v>
      </c>
      <c r="AB9" s="490">
        <v>184.585</v>
      </c>
      <c r="AC9" s="490">
        <v>1387.391</v>
      </c>
      <c r="AD9" s="116" t="s">
        <v>62</v>
      </c>
      <c r="AE9" s="558">
        <f t="shared" si="0"/>
        <v>8.023385000000003</v>
      </c>
      <c r="AF9" s="106" t="s">
        <v>61</v>
      </c>
      <c r="AG9" s="94">
        <v>5.161687999999999</v>
      </c>
      <c r="AH9" s="106" t="s">
        <v>101</v>
      </c>
    </row>
    <row r="10" spans="1:34" ht="15" customHeight="1">
      <c r="A10" s="115" t="s">
        <v>2</v>
      </c>
      <c r="B10" s="491">
        <v>479.38</v>
      </c>
      <c r="C10" s="491">
        <v>78.201</v>
      </c>
      <c r="D10" s="491">
        <v>222.051</v>
      </c>
      <c r="E10" s="489">
        <v>1890.071</v>
      </c>
      <c r="F10" s="491">
        <v>2485.126</v>
      </c>
      <c r="G10" s="491">
        <v>117.696</v>
      </c>
      <c r="H10" s="491">
        <v>252.73</v>
      </c>
      <c r="I10" s="491">
        <v>671.796</v>
      </c>
      <c r="J10" s="491">
        <v>2353.575</v>
      </c>
      <c r="K10" s="491">
        <v>1325.044</v>
      </c>
      <c r="L10" s="491">
        <v>130.735</v>
      </c>
      <c r="M10" s="491">
        <v>1230.497</v>
      </c>
      <c r="N10" s="491">
        <v>60.282</v>
      </c>
      <c r="O10" s="491">
        <v>168.987</v>
      </c>
      <c r="P10" s="491">
        <v>204.839</v>
      </c>
      <c r="Q10" s="491">
        <v>62.763</v>
      </c>
      <c r="R10" s="491">
        <v>135.644</v>
      </c>
      <c r="S10" s="491">
        <v>67.278</v>
      </c>
      <c r="T10" s="491">
        <v>1257.916</v>
      </c>
      <c r="U10" s="491">
        <v>472.546</v>
      </c>
      <c r="V10" s="491">
        <v>456.165</v>
      </c>
      <c r="W10" s="491">
        <v>301.865</v>
      </c>
      <c r="X10" s="491">
        <v>31.132</v>
      </c>
      <c r="Y10" s="491">
        <v>18.329</v>
      </c>
      <c r="Z10" s="491">
        <v>9.218</v>
      </c>
      <c r="AA10" s="491">
        <v>832.932</v>
      </c>
      <c r="AB10" s="491">
        <v>1696.609</v>
      </c>
      <c r="AC10" s="491">
        <v>2791.476</v>
      </c>
      <c r="AD10" s="116" t="s">
        <v>2</v>
      </c>
      <c r="AE10" s="558">
        <f t="shared" si="0"/>
        <v>19.804882999999997</v>
      </c>
      <c r="AF10" s="106" t="s">
        <v>14</v>
      </c>
      <c r="AG10" s="94">
        <v>4.813008</v>
      </c>
      <c r="AH10" s="106" t="s">
        <v>71</v>
      </c>
    </row>
    <row r="11" spans="1:34" ht="15" customHeight="1">
      <c r="A11" s="115" t="s">
        <v>3</v>
      </c>
      <c r="B11" s="490">
        <v>1504.095</v>
      </c>
      <c r="C11" s="490">
        <v>1302.632</v>
      </c>
      <c r="D11" s="490">
        <v>1095.457</v>
      </c>
      <c r="E11" s="490">
        <v>2499.74</v>
      </c>
      <c r="F11" s="489">
        <v>22616.913</v>
      </c>
      <c r="G11" s="490">
        <v>273.071</v>
      </c>
      <c r="H11" s="490">
        <v>1503.324</v>
      </c>
      <c r="I11" s="490">
        <v>4295.894</v>
      </c>
      <c r="J11" s="490">
        <v>23128.936</v>
      </c>
      <c r="K11" s="490">
        <v>8336.684</v>
      </c>
      <c r="L11" s="490">
        <v>1416.718</v>
      </c>
      <c r="M11" s="490">
        <v>11320.441</v>
      </c>
      <c r="N11" s="490">
        <v>261.097</v>
      </c>
      <c r="O11" s="490">
        <v>623.828</v>
      </c>
      <c r="P11" s="490">
        <v>373.995</v>
      </c>
      <c r="Q11" s="490">
        <v>332.726</v>
      </c>
      <c r="R11" s="490">
        <v>1386.997</v>
      </c>
      <c r="S11" s="490">
        <v>579.946</v>
      </c>
      <c r="T11" s="490">
        <v>3497.809</v>
      </c>
      <c r="U11" s="490">
        <v>6547.273</v>
      </c>
      <c r="V11" s="490">
        <v>3223.457</v>
      </c>
      <c r="W11" s="490">
        <v>3124.773</v>
      </c>
      <c r="X11" s="490">
        <v>1493.847</v>
      </c>
      <c r="Y11" s="490">
        <v>215.997</v>
      </c>
      <c r="Z11" s="490">
        <v>1.911</v>
      </c>
      <c r="AA11" s="490">
        <v>1647.871</v>
      </c>
      <c r="AB11" s="490">
        <v>2853.711</v>
      </c>
      <c r="AC11" s="490">
        <v>12190.147</v>
      </c>
      <c r="AD11" s="116" t="s">
        <v>3</v>
      </c>
      <c r="AE11" s="558">
        <f t="shared" si="0"/>
        <v>117.64928999999995</v>
      </c>
      <c r="AF11" s="106" t="s">
        <v>63</v>
      </c>
      <c r="AG11" s="94">
        <v>8.023385000000003</v>
      </c>
      <c r="AH11" s="106" t="s">
        <v>61</v>
      </c>
    </row>
    <row r="12" spans="1:34" ht="15" customHeight="1">
      <c r="A12" s="115" t="s">
        <v>65</v>
      </c>
      <c r="B12" s="491">
        <v>48.186</v>
      </c>
      <c r="C12" s="491">
        <v>22.603</v>
      </c>
      <c r="D12" s="491">
        <v>0.8</v>
      </c>
      <c r="E12" s="491">
        <v>117.993</v>
      </c>
      <c r="F12" s="491">
        <v>271.119</v>
      </c>
      <c r="G12" s="489">
        <v>19.204</v>
      </c>
      <c r="H12" s="491">
        <v>21.589</v>
      </c>
      <c r="I12" s="491">
        <v>15.97</v>
      </c>
      <c r="J12" s="491">
        <v>64.221</v>
      </c>
      <c r="K12" s="491">
        <v>12.145</v>
      </c>
      <c r="L12" s="491">
        <v>0.302</v>
      </c>
      <c r="M12" s="491">
        <v>51.892</v>
      </c>
      <c r="N12" s="491">
        <v>2.494</v>
      </c>
      <c r="O12" s="491">
        <v>197.964</v>
      </c>
      <c r="P12" s="491">
        <v>37.197</v>
      </c>
      <c r="Q12" s="491">
        <v>0.006</v>
      </c>
      <c r="R12" s="491">
        <v>0.042</v>
      </c>
      <c r="S12" s="491">
        <v>0.379</v>
      </c>
      <c r="T12" s="491">
        <v>86.959</v>
      </c>
      <c r="U12" s="491">
        <v>5.307</v>
      </c>
      <c r="V12" s="491">
        <v>25.39</v>
      </c>
      <c r="W12" s="491">
        <v>2.246</v>
      </c>
      <c r="X12" s="499"/>
      <c r="Y12" s="499"/>
      <c r="Z12" s="499"/>
      <c r="AA12" s="499">
        <v>218.78</v>
      </c>
      <c r="AB12" s="491">
        <v>136.029</v>
      </c>
      <c r="AC12" s="491">
        <v>143.684</v>
      </c>
      <c r="AD12" s="116" t="s">
        <v>65</v>
      </c>
      <c r="AE12" s="558">
        <f t="shared" si="0"/>
        <v>1.5025010000000003</v>
      </c>
      <c r="AF12" s="106" t="s">
        <v>64</v>
      </c>
      <c r="AG12" s="94">
        <v>117.64928999999995</v>
      </c>
      <c r="AH12" s="106" t="s">
        <v>63</v>
      </c>
    </row>
    <row r="13" spans="1:34" ht="15" customHeight="1">
      <c r="A13" s="115" t="s">
        <v>6</v>
      </c>
      <c r="B13" s="490">
        <v>423.176</v>
      </c>
      <c r="C13" s="490">
        <v>27.967</v>
      </c>
      <c r="D13" s="490">
        <v>106.818</v>
      </c>
      <c r="E13" s="490">
        <v>252.894</v>
      </c>
      <c r="F13" s="490">
        <v>1495.709</v>
      </c>
      <c r="G13" s="490">
        <v>21.754</v>
      </c>
      <c r="H13" s="489">
        <v>57.081</v>
      </c>
      <c r="I13" s="490">
        <v>56.43</v>
      </c>
      <c r="J13" s="490">
        <v>3048.925</v>
      </c>
      <c r="K13" s="490">
        <v>1553.403</v>
      </c>
      <c r="L13" s="490">
        <v>78.908</v>
      </c>
      <c r="M13" s="490">
        <v>963.714</v>
      </c>
      <c r="N13" s="490">
        <v>7.077</v>
      </c>
      <c r="O13" s="490">
        <v>107.747</v>
      </c>
      <c r="P13" s="490">
        <v>162.339</v>
      </c>
      <c r="Q13" s="490">
        <v>0.035</v>
      </c>
      <c r="R13" s="490">
        <v>163.467</v>
      </c>
      <c r="S13" s="490">
        <v>59.074</v>
      </c>
      <c r="T13" s="490">
        <v>804.454</v>
      </c>
      <c r="U13" s="490">
        <v>126.126</v>
      </c>
      <c r="V13" s="490">
        <v>858.702</v>
      </c>
      <c r="W13" s="490">
        <v>685.274</v>
      </c>
      <c r="X13" s="490">
        <v>76.07</v>
      </c>
      <c r="Z13" s="490">
        <v>95.685</v>
      </c>
      <c r="AA13" s="490">
        <v>35.913</v>
      </c>
      <c r="AB13" s="490">
        <v>149.97</v>
      </c>
      <c r="AC13" s="490">
        <v>9643.783</v>
      </c>
      <c r="AD13" s="116" t="s">
        <v>6</v>
      </c>
      <c r="AE13" s="558">
        <f t="shared" si="0"/>
        <v>21.062495</v>
      </c>
      <c r="AF13" s="106" t="s">
        <v>68</v>
      </c>
      <c r="AG13" s="94">
        <v>19.804882999999997</v>
      </c>
      <c r="AH13" s="106" t="s">
        <v>14</v>
      </c>
    </row>
    <row r="14" spans="1:34" ht="15" customHeight="1">
      <c r="A14" s="115" t="s">
        <v>159</v>
      </c>
      <c r="B14" s="491">
        <v>797.064</v>
      </c>
      <c r="C14" s="491">
        <v>89.081</v>
      </c>
      <c r="D14" s="491">
        <v>584.041</v>
      </c>
      <c r="E14" s="491">
        <v>673.985</v>
      </c>
      <c r="F14" s="491">
        <v>4361.03</v>
      </c>
      <c r="G14" s="491">
        <v>16.589</v>
      </c>
      <c r="H14" s="491">
        <v>56.54</v>
      </c>
      <c r="I14" s="489">
        <v>5111.487</v>
      </c>
      <c r="J14" s="491">
        <v>357.816</v>
      </c>
      <c r="K14" s="491">
        <v>1758.168</v>
      </c>
      <c r="L14" s="491">
        <v>25.145</v>
      </c>
      <c r="M14" s="491">
        <v>2223.673</v>
      </c>
      <c r="N14" s="491">
        <v>970.244</v>
      </c>
      <c r="O14" s="491">
        <v>32.676</v>
      </c>
      <c r="P14" s="491">
        <v>76.795</v>
      </c>
      <c r="Q14" s="491">
        <v>50.925</v>
      </c>
      <c r="R14" s="491">
        <v>126.353</v>
      </c>
      <c r="S14" s="491">
        <v>17.323</v>
      </c>
      <c r="T14" s="491">
        <v>1170.751</v>
      </c>
      <c r="U14" s="491">
        <v>781.646</v>
      </c>
      <c r="V14" s="491">
        <v>699.69</v>
      </c>
      <c r="W14" s="491">
        <v>3.471</v>
      </c>
      <c r="X14" s="491">
        <v>230.077</v>
      </c>
      <c r="Y14" s="491">
        <v>42.597</v>
      </c>
      <c r="Z14" s="491">
        <v>85.35</v>
      </c>
      <c r="AA14" s="491">
        <v>375.624</v>
      </c>
      <c r="AB14" s="491">
        <v>791.398</v>
      </c>
      <c r="AC14" s="491">
        <v>4953.613</v>
      </c>
      <c r="AD14" s="116" t="s">
        <v>159</v>
      </c>
      <c r="AE14" s="558">
        <f t="shared" si="0"/>
        <v>26.463151999999997</v>
      </c>
      <c r="AF14" s="106" t="s">
        <v>15</v>
      </c>
      <c r="AG14" s="94">
        <v>1.5025010000000003</v>
      </c>
      <c r="AH14" s="106" t="s">
        <v>64</v>
      </c>
    </row>
    <row r="15" spans="1:34" ht="15" customHeight="1">
      <c r="A15" s="115" t="s">
        <v>4</v>
      </c>
      <c r="B15" s="490">
        <v>4423.848</v>
      </c>
      <c r="C15" s="490">
        <v>267.556</v>
      </c>
      <c r="D15" s="490">
        <v>664.187</v>
      </c>
      <c r="E15" s="490">
        <v>2353.038</v>
      </c>
      <c r="F15" s="490">
        <v>22866.999</v>
      </c>
      <c r="G15" s="490">
        <v>63.802</v>
      </c>
      <c r="H15" s="490">
        <v>3037.989</v>
      </c>
      <c r="I15" s="490">
        <v>356.689</v>
      </c>
      <c r="J15" s="489">
        <v>28599.482</v>
      </c>
      <c r="K15" s="490">
        <v>10251.41</v>
      </c>
      <c r="L15" s="490">
        <v>138.308</v>
      </c>
      <c r="M15" s="490">
        <v>9609.101</v>
      </c>
      <c r="N15" s="490">
        <v>19.733</v>
      </c>
      <c r="O15" s="490">
        <v>92.518</v>
      </c>
      <c r="P15" s="490">
        <v>150.227</v>
      </c>
      <c r="Q15" s="490">
        <v>290.899</v>
      </c>
      <c r="R15" s="490">
        <v>323.33</v>
      </c>
      <c r="S15" s="490">
        <v>166.323</v>
      </c>
      <c r="T15" s="490">
        <v>5510.348</v>
      </c>
      <c r="U15" s="490">
        <v>1335.23</v>
      </c>
      <c r="V15" s="490">
        <v>1152.816</v>
      </c>
      <c r="W15" s="490">
        <v>2767.311</v>
      </c>
      <c r="X15" s="490">
        <v>1032.572</v>
      </c>
      <c r="Y15" s="490">
        <v>5.037</v>
      </c>
      <c r="Z15" s="490">
        <v>102.006</v>
      </c>
      <c r="AA15" s="490">
        <v>1397.444</v>
      </c>
      <c r="AB15" s="490">
        <v>2764.292</v>
      </c>
      <c r="AC15" s="490">
        <v>32734.152</v>
      </c>
      <c r="AD15" s="116" t="s">
        <v>4</v>
      </c>
      <c r="AE15" s="558">
        <f t="shared" si="0"/>
        <v>132.47664699999999</v>
      </c>
      <c r="AF15" s="106" t="s">
        <v>66</v>
      </c>
      <c r="AG15" s="94">
        <v>26.463151999999997</v>
      </c>
      <c r="AH15" s="106" t="s">
        <v>15</v>
      </c>
    </row>
    <row r="16" spans="1:34" ht="15" customHeight="1">
      <c r="A16" s="115" t="s">
        <v>5</v>
      </c>
      <c r="B16" s="491">
        <v>1819.298</v>
      </c>
      <c r="C16" s="491">
        <v>203.303</v>
      </c>
      <c r="D16" s="491">
        <v>968.605</v>
      </c>
      <c r="E16" s="491">
        <v>1335.971</v>
      </c>
      <c r="F16" s="491">
        <v>7185.036</v>
      </c>
      <c r="G16" s="491">
        <v>12.623</v>
      </c>
      <c r="H16" s="491">
        <v>1568.334</v>
      </c>
      <c r="I16" s="491">
        <v>1773.748</v>
      </c>
      <c r="J16" s="491">
        <v>9394.801</v>
      </c>
      <c r="K16" s="489">
        <v>28730.442</v>
      </c>
      <c r="L16" s="491">
        <v>474.756</v>
      </c>
      <c r="M16" s="491">
        <v>9959.866</v>
      </c>
      <c r="N16" s="491">
        <v>67.171</v>
      </c>
      <c r="O16" s="491">
        <v>130.936</v>
      </c>
      <c r="P16" s="491">
        <v>79.818</v>
      </c>
      <c r="Q16" s="491">
        <v>120.355</v>
      </c>
      <c r="R16" s="491">
        <v>448.283</v>
      </c>
      <c r="S16" s="491">
        <v>237.371</v>
      </c>
      <c r="T16" s="491">
        <v>3021.832</v>
      </c>
      <c r="U16" s="491">
        <v>1017.136</v>
      </c>
      <c r="V16" s="491">
        <v>944.776</v>
      </c>
      <c r="W16" s="491">
        <v>4133.98</v>
      </c>
      <c r="X16" s="491">
        <v>706.227</v>
      </c>
      <c r="Y16" s="491">
        <v>77.326</v>
      </c>
      <c r="Z16" s="491">
        <v>31.833</v>
      </c>
      <c r="AA16" s="491">
        <v>591.071</v>
      </c>
      <c r="AB16" s="491">
        <v>1131.073</v>
      </c>
      <c r="AC16" s="491">
        <v>11051.637</v>
      </c>
      <c r="AD16" s="116" t="s">
        <v>5</v>
      </c>
      <c r="AE16" s="558">
        <f t="shared" si="0"/>
        <v>87.217608</v>
      </c>
      <c r="AF16" s="106" t="s">
        <v>67</v>
      </c>
      <c r="AG16" s="94">
        <v>132.47664699999999</v>
      </c>
      <c r="AH16" s="106" t="s">
        <v>66</v>
      </c>
    </row>
    <row r="17" spans="1:34" ht="15" customHeight="1">
      <c r="A17" s="115" t="s">
        <v>165</v>
      </c>
      <c r="B17" s="492">
        <v>146.416</v>
      </c>
      <c r="C17" s="493">
        <v>0.593</v>
      </c>
      <c r="D17" s="493">
        <v>39.451</v>
      </c>
      <c r="E17" s="493">
        <v>130.431</v>
      </c>
      <c r="F17" s="493">
        <v>1469.599</v>
      </c>
      <c r="G17" s="493">
        <v>0.355</v>
      </c>
      <c r="H17" s="493">
        <v>78.58</v>
      </c>
      <c r="I17" s="493">
        <v>13.234</v>
      </c>
      <c r="J17" s="493">
        <v>139.793</v>
      </c>
      <c r="K17" s="493">
        <v>468.822</v>
      </c>
      <c r="L17" s="496">
        <v>441.151</v>
      </c>
      <c r="M17" s="493">
        <v>138.323</v>
      </c>
      <c r="N17" s="493">
        <v>0.05</v>
      </c>
      <c r="O17" s="493">
        <v>6.607</v>
      </c>
      <c r="P17" s="493">
        <v>4.666</v>
      </c>
      <c r="Q17" s="493">
        <v>3.571</v>
      </c>
      <c r="R17" s="493">
        <v>51.059</v>
      </c>
      <c r="S17" s="493">
        <v>4.055</v>
      </c>
      <c r="T17" s="493">
        <v>105.044</v>
      </c>
      <c r="U17" s="493">
        <v>274.311</v>
      </c>
      <c r="V17" s="493">
        <v>60.711</v>
      </c>
      <c r="W17" s="493">
        <v>22.539</v>
      </c>
      <c r="X17" s="493">
        <v>0.086</v>
      </c>
      <c r="Y17" s="493">
        <v>0.971</v>
      </c>
      <c r="Z17" s="493">
        <v>5.511</v>
      </c>
      <c r="AA17" s="493">
        <v>99.971</v>
      </c>
      <c r="AB17" s="493">
        <v>219.508</v>
      </c>
      <c r="AC17" s="494">
        <v>892.281</v>
      </c>
      <c r="AD17" s="116" t="s">
        <v>165</v>
      </c>
      <c r="AE17" s="558">
        <f t="shared" si="0"/>
        <v>4.817689</v>
      </c>
      <c r="AF17" s="106" t="s">
        <v>148</v>
      </c>
      <c r="AG17" s="94">
        <v>12.787563</v>
      </c>
      <c r="AH17" s="106" t="s">
        <v>87</v>
      </c>
    </row>
    <row r="18" spans="1:34" ht="15" customHeight="1">
      <c r="A18" s="115" t="s">
        <v>7</v>
      </c>
      <c r="B18" s="495">
        <v>2966.41</v>
      </c>
      <c r="C18" s="495">
        <v>337.231</v>
      </c>
      <c r="D18" s="495">
        <v>885.989</v>
      </c>
      <c r="E18" s="495">
        <v>1229.254</v>
      </c>
      <c r="F18" s="495">
        <v>11302.999</v>
      </c>
      <c r="G18" s="495">
        <v>54.351</v>
      </c>
      <c r="H18" s="495">
        <v>964.849</v>
      </c>
      <c r="I18" s="495">
        <v>2222.131</v>
      </c>
      <c r="J18" s="495">
        <v>9662.236</v>
      </c>
      <c r="K18" s="495">
        <v>9937.629</v>
      </c>
      <c r="L18" s="495">
        <v>178.893</v>
      </c>
      <c r="M18" s="496">
        <v>28416.335</v>
      </c>
      <c r="N18" s="495">
        <v>116.271</v>
      </c>
      <c r="O18" s="495">
        <v>237.513</v>
      </c>
      <c r="P18" s="495">
        <v>218.357</v>
      </c>
      <c r="Q18" s="495">
        <v>160.252</v>
      </c>
      <c r="R18" s="495">
        <v>714.013</v>
      </c>
      <c r="S18" s="495">
        <v>730.018</v>
      </c>
      <c r="T18" s="495">
        <v>3526.569</v>
      </c>
      <c r="U18" s="495">
        <v>1172.008</v>
      </c>
      <c r="V18" s="495">
        <v>1259.382</v>
      </c>
      <c r="W18" s="495">
        <v>1245.55</v>
      </c>
      <c r="X18" s="495">
        <v>2116.128</v>
      </c>
      <c r="Y18" s="495">
        <v>2.185</v>
      </c>
      <c r="Z18" s="495">
        <v>192.994</v>
      </c>
      <c r="AA18" s="495">
        <v>483.263</v>
      </c>
      <c r="AB18" s="495">
        <v>803.302</v>
      </c>
      <c r="AC18" s="495">
        <v>11033.452</v>
      </c>
      <c r="AD18" s="116" t="s">
        <v>7</v>
      </c>
      <c r="AE18" s="558">
        <f t="shared" si="0"/>
        <v>92.16956400000001</v>
      </c>
      <c r="AF18" s="106" t="s">
        <v>69</v>
      </c>
      <c r="AG18" s="94">
        <v>87.217608</v>
      </c>
      <c r="AH18" s="106" t="s">
        <v>67</v>
      </c>
    </row>
    <row r="19" spans="1:34" ht="15" customHeight="1">
      <c r="A19" s="115" t="s">
        <v>70</v>
      </c>
      <c r="B19" s="497">
        <v>54.592</v>
      </c>
      <c r="C19" s="497">
        <v>59.43</v>
      </c>
      <c r="D19" s="497">
        <v>23.4</v>
      </c>
      <c r="E19" s="497">
        <v>61.213</v>
      </c>
      <c r="F19" s="497">
        <v>269.502</v>
      </c>
      <c r="G19" s="497">
        <v>2.476</v>
      </c>
      <c r="H19" s="497">
        <v>7.077</v>
      </c>
      <c r="I19" s="497">
        <v>960.252</v>
      </c>
      <c r="J19" s="497">
        <v>19.656</v>
      </c>
      <c r="K19" s="497">
        <v>68.201</v>
      </c>
      <c r="L19" s="497">
        <v>0.134</v>
      </c>
      <c r="M19" s="497">
        <v>116.995</v>
      </c>
      <c r="N19" s="498">
        <v>0</v>
      </c>
      <c r="O19" s="497">
        <v>7.77</v>
      </c>
      <c r="P19" s="497">
        <v>12.84</v>
      </c>
      <c r="Q19" s="497">
        <v>0.385</v>
      </c>
      <c r="R19" s="497">
        <v>61.347</v>
      </c>
      <c r="S19" s="497">
        <v>22.765</v>
      </c>
      <c r="T19" s="497">
        <v>71.285</v>
      </c>
      <c r="U19" s="497">
        <v>168.126</v>
      </c>
      <c r="V19" s="497">
        <v>97.443</v>
      </c>
      <c r="W19" s="497">
        <v>0.007</v>
      </c>
      <c r="X19" s="497">
        <v>111.176</v>
      </c>
      <c r="Y19" s="497">
        <v>5.543</v>
      </c>
      <c r="Z19" s="497">
        <v>3.314</v>
      </c>
      <c r="AA19" s="497">
        <v>54.086</v>
      </c>
      <c r="AB19" s="497">
        <v>223.491</v>
      </c>
      <c r="AC19" s="497">
        <v>2330.502</v>
      </c>
      <c r="AD19" s="116" t="s">
        <v>70</v>
      </c>
      <c r="AE19" s="558">
        <f t="shared" si="0"/>
        <v>4.813008</v>
      </c>
      <c r="AF19" s="106" t="s">
        <v>71</v>
      </c>
      <c r="AG19" s="94">
        <v>4.817689</v>
      </c>
      <c r="AH19" s="106" t="s">
        <v>148</v>
      </c>
    </row>
    <row r="20" spans="1:34" ht="15" customHeight="1">
      <c r="A20" s="115" t="s">
        <v>74</v>
      </c>
      <c r="B20" s="499">
        <v>107.472</v>
      </c>
      <c r="C20" s="499">
        <v>19.589</v>
      </c>
      <c r="D20" s="499">
        <v>26.469</v>
      </c>
      <c r="E20" s="499">
        <v>168.837</v>
      </c>
      <c r="F20" s="499">
        <v>619.254</v>
      </c>
      <c r="G20" s="499">
        <v>196.147</v>
      </c>
      <c r="H20" s="499">
        <v>107.762</v>
      </c>
      <c r="I20" s="499">
        <v>32.537</v>
      </c>
      <c r="J20" s="499">
        <v>98.639</v>
      </c>
      <c r="K20" s="499">
        <v>130.103</v>
      </c>
      <c r="L20" s="499">
        <v>0.054</v>
      </c>
      <c r="M20" s="499">
        <v>239.663</v>
      </c>
      <c r="N20" s="499">
        <v>8.09</v>
      </c>
      <c r="O20" s="498">
        <v>0.278</v>
      </c>
      <c r="P20" s="499">
        <v>214.861</v>
      </c>
      <c r="Q20" s="499">
        <v>0.067</v>
      </c>
      <c r="R20" s="499">
        <v>21.778</v>
      </c>
      <c r="S20" s="499">
        <v>5.393</v>
      </c>
      <c r="T20" s="499">
        <v>139.459</v>
      </c>
      <c r="U20" s="499">
        <v>75.101</v>
      </c>
      <c r="V20" s="499">
        <v>65.588</v>
      </c>
      <c r="W20" s="499">
        <v>1.405</v>
      </c>
      <c r="X20" s="499">
        <v>0.004</v>
      </c>
      <c r="Y20" s="499"/>
      <c r="Z20" s="499">
        <v>1.12</v>
      </c>
      <c r="AA20" s="499">
        <v>285.822</v>
      </c>
      <c r="AB20" s="499">
        <v>205.751</v>
      </c>
      <c r="AC20" s="499">
        <v>544.342</v>
      </c>
      <c r="AD20" s="116" t="s">
        <v>74</v>
      </c>
      <c r="AE20" s="558">
        <f t="shared" si="0"/>
        <v>3.315585000000001</v>
      </c>
      <c r="AF20" s="106" t="s">
        <v>72</v>
      </c>
      <c r="AG20" s="94">
        <v>6.9743889999999995</v>
      </c>
      <c r="AH20" s="106" t="s">
        <v>77</v>
      </c>
    </row>
    <row r="21" spans="1:34" ht="15" customHeight="1">
      <c r="A21" s="115" t="s">
        <v>75</v>
      </c>
      <c r="B21" s="497">
        <v>113.331</v>
      </c>
      <c r="C21" s="497">
        <v>29.153</v>
      </c>
      <c r="D21" s="497">
        <v>3.422</v>
      </c>
      <c r="E21" s="497">
        <v>205.592</v>
      </c>
      <c r="F21" s="497">
        <v>373.176</v>
      </c>
      <c r="G21" s="497">
        <v>37.68</v>
      </c>
      <c r="H21" s="497">
        <v>166.836</v>
      </c>
      <c r="I21" s="497">
        <v>76.511</v>
      </c>
      <c r="J21" s="497">
        <v>146.139</v>
      </c>
      <c r="K21" s="497">
        <v>79.71</v>
      </c>
      <c r="L21" s="497">
        <v>0.241</v>
      </c>
      <c r="M21" s="497">
        <v>219.068</v>
      </c>
      <c r="N21" s="497">
        <v>13.068</v>
      </c>
      <c r="O21" s="497">
        <v>217.279</v>
      </c>
      <c r="P21" s="498">
        <v>0.148</v>
      </c>
      <c r="Q21" s="497">
        <v>0</v>
      </c>
      <c r="S21" s="497">
        <v>21.235</v>
      </c>
      <c r="T21" s="497">
        <v>75.424</v>
      </c>
      <c r="U21" s="497">
        <v>55.43</v>
      </c>
      <c r="V21" s="497">
        <v>95.236</v>
      </c>
      <c r="W21" s="497">
        <v>1.797</v>
      </c>
      <c r="X21" s="497">
        <v>0.109</v>
      </c>
      <c r="Y21" s="497">
        <v>0.966</v>
      </c>
      <c r="Z21" s="497">
        <v>0</v>
      </c>
      <c r="AA21" s="497">
        <v>100.518</v>
      </c>
      <c r="AB21" s="497">
        <v>49.137</v>
      </c>
      <c r="AC21" s="497">
        <v>739.874</v>
      </c>
      <c r="AD21" s="116" t="s">
        <v>75</v>
      </c>
      <c r="AE21" s="558">
        <f t="shared" si="0"/>
        <v>2.82108</v>
      </c>
      <c r="AF21" s="106" t="s">
        <v>73</v>
      </c>
      <c r="AG21" s="94">
        <v>21.062495</v>
      </c>
      <c r="AH21" s="106" t="s">
        <v>68</v>
      </c>
    </row>
    <row r="22" spans="1:34" ht="15" customHeight="1">
      <c r="A22" s="115" t="s">
        <v>8</v>
      </c>
      <c r="B22" s="499">
        <v>1.027</v>
      </c>
      <c r="C22" s="499">
        <v>24.722</v>
      </c>
      <c r="D22" s="499">
        <v>0.077</v>
      </c>
      <c r="E22" s="499">
        <v>63.338</v>
      </c>
      <c r="F22" s="499">
        <v>330.303</v>
      </c>
      <c r="G22" s="499"/>
      <c r="H22" s="499"/>
      <c r="I22" s="499">
        <v>53.38</v>
      </c>
      <c r="J22" s="499">
        <v>295.921</v>
      </c>
      <c r="K22" s="499">
        <v>117.813</v>
      </c>
      <c r="L22" s="499">
        <v>3.519</v>
      </c>
      <c r="M22" s="499">
        <v>162.363</v>
      </c>
      <c r="N22" s="499">
        <v>0.385</v>
      </c>
      <c r="O22" s="499">
        <v>0.084</v>
      </c>
      <c r="P22" s="557"/>
      <c r="Q22" s="498">
        <v>0.965</v>
      </c>
      <c r="R22" s="499">
        <v>0</v>
      </c>
      <c r="S22" s="499">
        <v>3.21</v>
      </c>
      <c r="T22" s="499">
        <v>124.464</v>
      </c>
      <c r="U22" s="499">
        <v>68.774</v>
      </c>
      <c r="V22" s="499">
        <v>0.582</v>
      </c>
      <c r="W22" s="499">
        <v>193.319</v>
      </c>
      <c r="X22" s="499"/>
      <c r="Y22" s="499"/>
      <c r="Z22" s="499">
        <v>0.01</v>
      </c>
      <c r="AA22" s="499">
        <v>0.291</v>
      </c>
      <c r="AB22" s="499">
        <v>0.328</v>
      </c>
      <c r="AC22" s="499">
        <v>370.133</v>
      </c>
      <c r="AD22" s="116" t="s">
        <v>8</v>
      </c>
      <c r="AE22" s="558">
        <f t="shared" si="0"/>
        <v>1.8150079999999997</v>
      </c>
      <c r="AF22" s="106" t="s">
        <v>76</v>
      </c>
      <c r="AG22" s="94">
        <v>92.16956400000001</v>
      </c>
      <c r="AH22" s="106" t="s">
        <v>69</v>
      </c>
    </row>
    <row r="23" spans="1:34" ht="15" customHeight="1">
      <c r="A23" s="115" t="s">
        <v>79</v>
      </c>
      <c r="B23" s="497">
        <v>424.417</v>
      </c>
      <c r="C23" s="497">
        <v>38.371</v>
      </c>
      <c r="D23" s="497">
        <v>68.105</v>
      </c>
      <c r="E23" s="497">
        <v>136.045</v>
      </c>
      <c r="F23" s="497">
        <v>1404.003</v>
      </c>
      <c r="G23" s="497">
        <v>0.076</v>
      </c>
      <c r="H23" s="497">
        <v>163.379</v>
      </c>
      <c r="I23" s="497">
        <v>125.399</v>
      </c>
      <c r="J23" s="497">
        <v>321.488</v>
      </c>
      <c r="K23" s="497">
        <v>502.897</v>
      </c>
      <c r="L23" s="497">
        <v>0.373</v>
      </c>
      <c r="M23" s="497">
        <v>720.29</v>
      </c>
      <c r="N23" s="497">
        <v>60.823</v>
      </c>
      <c r="O23" s="497">
        <v>23.085</v>
      </c>
      <c r="P23" s="497">
        <v>0.029</v>
      </c>
      <c r="Q23" s="497">
        <v>0.007</v>
      </c>
      <c r="R23" s="498">
        <v>0.314</v>
      </c>
      <c r="S23" s="497">
        <v>35.083</v>
      </c>
      <c r="T23" s="497">
        <v>627.871</v>
      </c>
      <c r="U23" s="497">
        <v>104.074</v>
      </c>
      <c r="V23" s="497">
        <v>183.963</v>
      </c>
      <c r="W23" s="497">
        <v>68.078</v>
      </c>
      <c r="X23" s="497">
        <v>85.657</v>
      </c>
      <c r="Y23" s="497">
        <v>0.032</v>
      </c>
      <c r="Z23" s="497">
        <v>0.049</v>
      </c>
      <c r="AA23" s="497">
        <v>214.702</v>
      </c>
      <c r="AB23" s="497">
        <v>335.748</v>
      </c>
      <c r="AC23" s="497">
        <v>1330.031</v>
      </c>
      <c r="AD23" s="116" t="s">
        <v>79</v>
      </c>
      <c r="AE23" s="558">
        <f t="shared" si="0"/>
        <v>6.9743889999999995</v>
      </c>
      <c r="AF23" s="106" t="s">
        <v>77</v>
      </c>
      <c r="AG23" s="94">
        <v>2.82108</v>
      </c>
      <c r="AH23" s="106" t="s">
        <v>73</v>
      </c>
    </row>
    <row r="24" spans="1:34" ht="15" customHeight="1">
      <c r="A24" s="115" t="s">
        <v>161</v>
      </c>
      <c r="B24" s="499">
        <v>83.526</v>
      </c>
      <c r="C24" s="499">
        <v>17.065</v>
      </c>
      <c r="D24" s="499">
        <v>12.113</v>
      </c>
      <c r="E24" s="499">
        <v>66.796</v>
      </c>
      <c r="F24" s="499">
        <v>579.215</v>
      </c>
      <c r="G24" s="499">
        <v>0.343</v>
      </c>
      <c r="H24" s="499">
        <v>59.648</v>
      </c>
      <c r="I24" s="499">
        <v>15.291</v>
      </c>
      <c r="J24" s="499">
        <v>167.19</v>
      </c>
      <c r="K24" s="499">
        <v>242.475</v>
      </c>
      <c r="L24" s="499">
        <v>4.071</v>
      </c>
      <c r="M24" s="499">
        <v>731.531</v>
      </c>
      <c r="N24" s="499">
        <v>22.645</v>
      </c>
      <c r="O24" s="499">
        <v>5.47</v>
      </c>
      <c r="P24" s="499">
        <v>21.219</v>
      </c>
      <c r="Q24" s="499">
        <v>3.895</v>
      </c>
      <c r="R24" s="499">
        <v>35.2</v>
      </c>
      <c r="S24" s="498">
        <v>0.33</v>
      </c>
      <c r="T24" s="499">
        <v>103.565</v>
      </c>
      <c r="U24" s="499">
        <v>81.507</v>
      </c>
      <c r="V24" s="499">
        <v>47.528</v>
      </c>
      <c r="W24" s="499">
        <v>0.193</v>
      </c>
      <c r="X24" s="499">
        <v>7.887</v>
      </c>
      <c r="Y24" s="499">
        <v>5.286</v>
      </c>
      <c r="Z24" s="499">
        <v>2.536</v>
      </c>
      <c r="AA24" s="499">
        <v>1.358</v>
      </c>
      <c r="AB24" s="499">
        <v>81.278</v>
      </c>
      <c r="AC24" s="499">
        <v>1160.272</v>
      </c>
      <c r="AD24" s="116" t="s">
        <v>161</v>
      </c>
      <c r="AE24" s="558">
        <f t="shared" si="0"/>
        <v>3.559433</v>
      </c>
      <c r="AF24" s="106" t="s">
        <v>78</v>
      </c>
      <c r="AG24" s="94">
        <v>1.8150079999999997</v>
      </c>
      <c r="AH24" s="106" t="s">
        <v>76</v>
      </c>
    </row>
    <row r="25" spans="1:34" ht="15" customHeight="1">
      <c r="A25" s="115" t="s">
        <v>9</v>
      </c>
      <c r="B25" s="497">
        <v>210.796</v>
      </c>
      <c r="C25" s="497">
        <v>206.485</v>
      </c>
      <c r="D25" s="497">
        <v>519.632</v>
      </c>
      <c r="E25" s="497">
        <v>1254.492</v>
      </c>
      <c r="F25" s="497">
        <v>3480.118</v>
      </c>
      <c r="G25" s="497">
        <v>87.184</v>
      </c>
      <c r="H25" s="497">
        <v>806.327</v>
      </c>
      <c r="I25" s="497">
        <v>1173.585</v>
      </c>
      <c r="J25" s="497">
        <v>5545.139</v>
      </c>
      <c r="K25" s="497">
        <v>2994.487</v>
      </c>
      <c r="L25" s="497">
        <v>105.21</v>
      </c>
      <c r="M25" s="497">
        <v>3528.026</v>
      </c>
      <c r="N25" s="497">
        <v>71.089</v>
      </c>
      <c r="O25" s="497">
        <v>139.219</v>
      </c>
      <c r="P25" s="497">
        <v>75.388</v>
      </c>
      <c r="Q25" s="497">
        <v>123.626</v>
      </c>
      <c r="R25" s="497">
        <v>598.302</v>
      </c>
      <c r="S25" s="497">
        <v>102.64</v>
      </c>
      <c r="T25" s="498">
        <v>1.155</v>
      </c>
      <c r="U25" s="497">
        <v>744.684</v>
      </c>
      <c r="V25" s="497">
        <v>627.498</v>
      </c>
      <c r="W25" s="497">
        <v>1533.166</v>
      </c>
      <c r="X25" s="497">
        <v>418.494</v>
      </c>
      <c r="Y25" s="497">
        <v>23.439</v>
      </c>
      <c r="Z25" s="497">
        <v>0.185</v>
      </c>
      <c r="AA25" s="497">
        <v>492.898</v>
      </c>
      <c r="AB25" s="497">
        <v>982.072</v>
      </c>
      <c r="AC25" s="497">
        <v>8176.75</v>
      </c>
      <c r="AD25" s="116" t="s">
        <v>9</v>
      </c>
      <c r="AE25" s="558">
        <f t="shared" si="0"/>
        <v>34.022085999999994</v>
      </c>
      <c r="AF25" s="106" t="s">
        <v>16</v>
      </c>
      <c r="AG25" s="94">
        <v>3.315585000000001</v>
      </c>
      <c r="AH25" s="106" t="s">
        <v>72</v>
      </c>
    </row>
    <row r="26" spans="1:34" ht="15" customHeight="1">
      <c r="A26" s="115" t="s">
        <v>10</v>
      </c>
      <c r="B26" s="499">
        <v>415.241</v>
      </c>
      <c r="C26" s="499">
        <v>431.872</v>
      </c>
      <c r="D26" s="499">
        <v>161.773</v>
      </c>
      <c r="E26" s="499">
        <v>474.899</v>
      </c>
      <c r="F26" s="499">
        <v>6534.634</v>
      </c>
      <c r="G26" s="499">
        <v>5.357</v>
      </c>
      <c r="H26" s="499">
        <v>126.842</v>
      </c>
      <c r="I26" s="499">
        <v>778.717</v>
      </c>
      <c r="J26" s="499">
        <v>1344.814</v>
      </c>
      <c r="K26" s="499">
        <v>1064.695</v>
      </c>
      <c r="L26" s="499">
        <v>266.154</v>
      </c>
      <c r="M26" s="499">
        <v>1174.078</v>
      </c>
      <c r="N26" s="499">
        <v>168.602</v>
      </c>
      <c r="O26" s="499">
        <v>75.349</v>
      </c>
      <c r="P26" s="499">
        <v>55.272</v>
      </c>
      <c r="Q26" s="499">
        <v>68.574</v>
      </c>
      <c r="R26" s="499">
        <v>104.268</v>
      </c>
      <c r="S26" s="499">
        <v>81.03</v>
      </c>
      <c r="T26" s="499">
        <v>747.098</v>
      </c>
      <c r="U26" s="498">
        <v>621.285</v>
      </c>
      <c r="V26" s="499">
        <v>295.89</v>
      </c>
      <c r="W26" s="499">
        <v>109.891</v>
      </c>
      <c r="X26" s="499">
        <v>503.165</v>
      </c>
      <c r="Y26" s="499">
        <v>53.19</v>
      </c>
      <c r="Z26" s="499">
        <v>55.125</v>
      </c>
      <c r="AA26" s="499">
        <v>157.352</v>
      </c>
      <c r="AB26" s="499">
        <v>347.896</v>
      </c>
      <c r="AC26" s="499">
        <v>1544.355</v>
      </c>
      <c r="AD26" s="116" t="s">
        <v>10</v>
      </c>
      <c r="AE26" s="558">
        <f t="shared" si="0"/>
        <v>17.767418000000006</v>
      </c>
      <c r="AF26" s="106" t="s">
        <v>81</v>
      </c>
      <c r="AG26" s="94">
        <v>3.559433</v>
      </c>
      <c r="AH26" s="106" t="s">
        <v>78</v>
      </c>
    </row>
    <row r="27" spans="1:34" ht="15" customHeight="1">
      <c r="A27" s="115" t="s">
        <v>82</v>
      </c>
      <c r="B27" s="497">
        <v>454.374</v>
      </c>
      <c r="C27" s="497">
        <v>239.638</v>
      </c>
      <c r="D27" s="497">
        <v>155.606</v>
      </c>
      <c r="E27" s="497">
        <v>458.064</v>
      </c>
      <c r="F27" s="497">
        <v>3213.847</v>
      </c>
      <c r="G27" s="497">
        <v>25.685</v>
      </c>
      <c r="H27" s="497">
        <v>927.73</v>
      </c>
      <c r="I27" s="497">
        <v>696.437</v>
      </c>
      <c r="J27" s="497">
        <v>1172.358</v>
      </c>
      <c r="K27" s="497">
        <v>951.144</v>
      </c>
      <c r="L27" s="497">
        <v>62.967</v>
      </c>
      <c r="M27" s="497">
        <v>1306.465</v>
      </c>
      <c r="N27" s="497">
        <v>89.983</v>
      </c>
      <c r="O27" s="497">
        <v>65.668</v>
      </c>
      <c r="P27" s="497">
        <v>94.775</v>
      </c>
      <c r="Q27" s="497">
        <v>0.674</v>
      </c>
      <c r="R27" s="497">
        <v>188.962</v>
      </c>
      <c r="S27" s="497">
        <v>47.831</v>
      </c>
      <c r="T27" s="497">
        <v>640.089</v>
      </c>
      <c r="U27" s="497">
        <v>295.685</v>
      </c>
      <c r="V27" s="498">
        <v>1217.222</v>
      </c>
      <c r="W27" s="497">
        <v>137.376</v>
      </c>
      <c r="X27" s="497">
        <v>84.235</v>
      </c>
      <c r="Y27" s="497">
        <v>0.281</v>
      </c>
      <c r="Z27" s="497">
        <v>0.458</v>
      </c>
      <c r="AA27" s="497">
        <v>227.219</v>
      </c>
      <c r="AB27" s="497">
        <v>712.864</v>
      </c>
      <c r="AC27" s="497">
        <v>5312.235</v>
      </c>
      <c r="AD27" s="116" t="s">
        <v>82</v>
      </c>
      <c r="AE27" s="558">
        <f t="shared" si="0"/>
        <v>18.779872000000005</v>
      </c>
      <c r="AF27" s="106" t="s">
        <v>80</v>
      </c>
      <c r="AG27" s="94">
        <v>34.022085999999994</v>
      </c>
      <c r="AH27" s="106" t="s">
        <v>16</v>
      </c>
    </row>
    <row r="28" spans="1:34" ht="15" customHeight="1">
      <c r="A28" s="115" t="s">
        <v>11</v>
      </c>
      <c r="B28" s="499">
        <v>816.356</v>
      </c>
      <c r="C28" s="499">
        <v>0.576</v>
      </c>
      <c r="D28" s="499">
        <v>89.114</v>
      </c>
      <c r="E28" s="499">
        <v>294.423</v>
      </c>
      <c r="F28" s="499">
        <v>3086.519</v>
      </c>
      <c r="G28" s="499">
        <v>2.242</v>
      </c>
      <c r="H28" s="499">
        <v>683.405</v>
      </c>
      <c r="I28" s="499">
        <v>3.697</v>
      </c>
      <c r="J28" s="499">
        <v>2723.325</v>
      </c>
      <c r="K28" s="499">
        <v>3984.289</v>
      </c>
      <c r="L28" s="499">
        <v>25.528</v>
      </c>
      <c r="M28" s="499">
        <v>1239.493</v>
      </c>
      <c r="N28" s="499">
        <v>0.011</v>
      </c>
      <c r="O28" s="499">
        <v>1.24</v>
      </c>
      <c r="P28" s="499">
        <v>1.954</v>
      </c>
      <c r="Q28" s="499">
        <v>187.462</v>
      </c>
      <c r="R28" s="499">
        <v>77.608</v>
      </c>
      <c r="S28" s="499">
        <v>0.137</v>
      </c>
      <c r="T28" s="499">
        <v>1526.329</v>
      </c>
      <c r="U28" s="499">
        <v>109.017</v>
      </c>
      <c r="V28" s="499">
        <v>135.744</v>
      </c>
      <c r="W28" s="498">
        <v>2837.876</v>
      </c>
      <c r="X28" s="499">
        <v>57.251</v>
      </c>
      <c r="Y28" s="499"/>
      <c r="Z28" s="499">
        <v>0.659</v>
      </c>
      <c r="AA28" s="499">
        <v>118.44</v>
      </c>
      <c r="AB28" s="499">
        <v>160.387</v>
      </c>
      <c r="AC28" s="499">
        <v>5446.603</v>
      </c>
      <c r="AD28" s="116" t="s">
        <v>11</v>
      </c>
      <c r="AE28" s="558">
        <f t="shared" si="0"/>
        <v>23.609685</v>
      </c>
      <c r="AF28" s="106" t="s">
        <v>92</v>
      </c>
      <c r="AG28" s="94">
        <v>18.779872000000005</v>
      </c>
      <c r="AH28" s="106" t="s">
        <v>80</v>
      </c>
    </row>
    <row r="29" spans="1:34" ht="15" customHeight="1">
      <c r="A29" s="115" t="s">
        <v>104</v>
      </c>
      <c r="B29" s="497">
        <v>297.123</v>
      </c>
      <c r="C29" s="497">
        <v>36.144</v>
      </c>
      <c r="D29" s="497">
        <v>79.491</v>
      </c>
      <c r="E29" s="497">
        <v>29.448</v>
      </c>
      <c r="F29" s="497">
        <v>1493.683</v>
      </c>
      <c r="G29" s="497">
        <v>0.296</v>
      </c>
      <c r="H29" s="497">
        <v>74.518</v>
      </c>
      <c r="I29" s="497">
        <v>243.316</v>
      </c>
      <c r="J29" s="497">
        <v>1032.957</v>
      </c>
      <c r="K29" s="497">
        <v>703.181</v>
      </c>
      <c r="L29" s="497">
        <v>0.073</v>
      </c>
      <c r="M29" s="497">
        <v>2229.679</v>
      </c>
      <c r="N29" s="497">
        <v>108.944</v>
      </c>
      <c r="O29" s="497">
        <v>0.004</v>
      </c>
      <c r="P29" s="497">
        <v>0.005</v>
      </c>
      <c r="Q29" s="497">
        <v>0.066</v>
      </c>
      <c r="R29" s="497">
        <v>84.936</v>
      </c>
      <c r="S29" s="497">
        <v>7.588</v>
      </c>
      <c r="T29" s="497">
        <v>420.011</v>
      </c>
      <c r="U29" s="497">
        <v>505.567</v>
      </c>
      <c r="V29" s="497">
        <v>78.413</v>
      </c>
      <c r="W29" s="497">
        <v>54.533</v>
      </c>
      <c r="X29" s="498">
        <v>565.882</v>
      </c>
      <c r="Y29" s="497">
        <v>0.156</v>
      </c>
      <c r="Z29" s="497">
        <v>0.273</v>
      </c>
      <c r="AA29" s="497">
        <v>0.853</v>
      </c>
      <c r="AB29" s="497">
        <v>0.355</v>
      </c>
      <c r="AC29" s="497">
        <v>826.253</v>
      </c>
      <c r="AD29" s="116" t="s">
        <v>104</v>
      </c>
      <c r="AE29" s="558">
        <f t="shared" si="0"/>
        <v>8.873747999999999</v>
      </c>
      <c r="AF29" s="106" t="s">
        <v>102</v>
      </c>
      <c r="AG29" s="94">
        <v>23.609685</v>
      </c>
      <c r="AH29" s="106" t="s">
        <v>92</v>
      </c>
    </row>
    <row r="30" spans="1:34" ht="15" customHeight="1">
      <c r="A30" s="115" t="s">
        <v>84</v>
      </c>
      <c r="B30" s="499">
        <v>87.153</v>
      </c>
      <c r="C30" s="499">
        <v>3.461</v>
      </c>
      <c r="D30" s="499">
        <v>0.532</v>
      </c>
      <c r="E30" s="499">
        <v>18.225</v>
      </c>
      <c r="F30" s="499">
        <v>214.781</v>
      </c>
      <c r="G30" s="499"/>
      <c r="H30" s="499"/>
      <c r="I30" s="499">
        <v>47.598</v>
      </c>
      <c r="J30" s="499">
        <v>7.723</v>
      </c>
      <c r="K30" s="499">
        <v>76.459</v>
      </c>
      <c r="L30" s="499">
        <v>0.97</v>
      </c>
      <c r="M30" s="499">
        <v>2.25</v>
      </c>
      <c r="N30" s="499">
        <v>0.9</v>
      </c>
      <c r="O30" s="499">
        <v>0.003</v>
      </c>
      <c r="P30" s="499">
        <v>0.969</v>
      </c>
      <c r="Q30" s="499">
        <v>0</v>
      </c>
      <c r="R30" s="499">
        <v>0</v>
      </c>
      <c r="S30" s="499">
        <v>5.346</v>
      </c>
      <c r="T30" s="499">
        <v>23.408</v>
      </c>
      <c r="U30" s="499">
        <v>53.245</v>
      </c>
      <c r="V30" s="499">
        <v>0.135</v>
      </c>
      <c r="W30" s="499">
        <v>0.007</v>
      </c>
      <c r="X30" s="499">
        <v>0.158</v>
      </c>
      <c r="Y30" s="498"/>
      <c r="Z30" s="499">
        <v>0.007</v>
      </c>
      <c r="AA30" s="499">
        <v>31.423</v>
      </c>
      <c r="AB30" s="499">
        <v>0.167</v>
      </c>
      <c r="AC30" s="499">
        <v>139.227</v>
      </c>
      <c r="AD30" s="116" t="s">
        <v>84</v>
      </c>
      <c r="AE30" s="558">
        <f t="shared" si="0"/>
        <v>0.714147</v>
      </c>
      <c r="AF30" s="106" t="s">
        <v>304</v>
      </c>
      <c r="AG30" s="94">
        <v>8.873747999999999</v>
      </c>
      <c r="AH30" s="106" t="s">
        <v>102</v>
      </c>
    </row>
    <row r="31" spans="1:34" ht="15" customHeight="1">
      <c r="A31" s="115" t="s">
        <v>163</v>
      </c>
      <c r="B31" s="497">
        <v>65.365</v>
      </c>
      <c r="C31" s="497">
        <v>94.481</v>
      </c>
      <c r="D31" s="497">
        <v>59.114</v>
      </c>
      <c r="E31" s="497">
        <v>10.247</v>
      </c>
      <c r="F31" s="497">
        <v>2.464</v>
      </c>
      <c r="H31" s="497">
        <v>98.265</v>
      </c>
      <c r="I31" s="497">
        <v>86.448</v>
      </c>
      <c r="J31" s="497">
        <v>106.273</v>
      </c>
      <c r="K31" s="497">
        <v>32.199</v>
      </c>
      <c r="L31" s="497">
        <v>4.014</v>
      </c>
      <c r="M31" s="497">
        <v>192.401</v>
      </c>
      <c r="N31" s="497">
        <v>3.172</v>
      </c>
      <c r="O31" s="497">
        <v>1.134</v>
      </c>
      <c r="P31" s="497">
        <v>0.016</v>
      </c>
      <c r="Q31" s="497">
        <v>0.062</v>
      </c>
      <c r="R31" s="497">
        <v>0.622</v>
      </c>
      <c r="S31" s="497">
        <v>2.508</v>
      </c>
      <c r="T31" s="497">
        <v>0.557</v>
      </c>
      <c r="U31" s="497">
        <v>55.21</v>
      </c>
      <c r="V31" s="497">
        <v>0.618</v>
      </c>
      <c r="W31" s="497">
        <v>0.75</v>
      </c>
      <c r="X31" s="497">
        <v>0.007</v>
      </c>
      <c r="Y31" s="497">
        <v>0.064</v>
      </c>
      <c r="Z31" s="498">
        <v>19.718</v>
      </c>
      <c r="AA31" s="497">
        <v>0.975</v>
      </c>
      <c r="AB31" s="497">
        <v>0.563</v>
      </c>
      <c r="AC31" s="497">
        <v>439.543</v>
      </c>
      <c r="AD31" s="116" t="s">
        <v>163</v>
      </c>
      <c r="AE31" s="558">
        <f t="shared" si="0"/>
        <v>1.2767899999999999</v>
      </c>
      <c r="AF31" s="106" t="s">
        <v>85</v>
      </c>
      <c r="AG31" s="94">
        <v>25.723273000000002</v>
      </c>
      <c r="AH31" s="106" t="s">
        <v>88</v>
      </c>
    </row>
    <row r="32" spans="1:34" ht="15" customHeight="1">
      <c r="A32" s="115" t="s">
        <v>27</v>
      </c>
      <c r="B32" s="499">
        <v>184.443</v>
      </c>
      <c r="C32" s="499">
        <v>50.793</v>
      </c>
      <c r="D32" s="499">
        <v>182.269</v>
      </c>
      <c r="E32" s="499">
        <v>841.068</v>
      </c>
      <c r="F32" s="499">
        <v>1648.945</v>
      </c>
      <c r="G32" s="499">
        <v>205.582</v>
      </c>
      <c r="H32" s="499">
        <v>36.539</v>
      </c>
      <c r="I32" s="499">
        <v>379.398</v>
      </c>
      <c r="J32" s="499">
        <v>1415.533</v>
      </c>
      <c r="K32" s="499">
        <v>594.088</v>
      </c>
      <c r="L32" s="499">
        <v>101.145</v>
      </c>
      <c r="M32" s="499">
        <v>486.105</v>
      </c>
      <c r="N32" s="499">
        <v>55.513</v>
      </c>
      <c r="O32" s="499">
        <v>285.801</v>
      </c>
      <c r="P32" s="499">
        <v>100.43</v>
      </c>
      <c r="Q32" s="499">
        <v>0.291</v>
      </c>
      <c r="R32" s="499">
        <v>215.942</v>
      </c>
      <c r="S32" s="499">
        <v>1.358</v>
      </c>
      <c r="T32" s="499">
        <v>496.365</v>
      </c>
      <c r="U32" s="499">
        <v>157.712</v>
      </c>
      <c r="V32" s="499">
        <v>228.285</v>
      </c>
      <c r="W32" s="499">
        <v>127.192</v>
      </c>
      <c r="X32" s="499">
        <v>0.423</v>
      </c>
      <c r="Y32" s="499">
        <v>31.814</v>
      </c>
      <c r="Z32" s="499">
        <v>1.057</v>
      </c>
      <c r="AA32" s="498">
        <v>2439.507</v>
      </c>
      <c r="AB32" s="499">
        <v>1498.863</v>
      </c>
      <c r="AC32" s="499">
        <v>1021.102</v>
      </c>
      <c r="AD32" s="116" t="s">
        <v>27</v>
      </c>
      <c r="AE32" s="558">
        <f t="shared" si="0"/>
        <v>12.787563</v>
      </c>
      <c r="AF32" s="106" t="s">
        <v>87</v>
      </c>
      <c r="AG32" s="94">
        <v>1.2767899999999999</v>
      </c>
      <c r="AH32" s="106" t="s">
        <v>85</v>
      </c>
    </row>
    <row r="33" spans="1:34" ht="15" customHeight="1">
      <c r="A33" s="115" t="s">
        <v>12</v>
      </c>
      <c r="B33" s="497">
        <v>427.469</v>
      </c>
      <c r="C33" s="497">
        <v>42.8</v>
      </c>
      <c r="D33" s="497">
        <v>184.616</v>
      </c>
      <c r="E33" s="497">
        <v>1723.785</v>
      </c>
      <c r="F33" s="497">
        <v>2859.348</v>
      </c>
      <c r="G33" s="497">
        <v>140.56</v>
      </c>
      <c r="H33" s="497">
        <v>150.118</v>
      </c>
      <c r="I33" s="497">
        <v>822.013</v>
      </c>
      <c r="J33" s="497">
        <v>2904.546</v>
      </c>
      <c r="K33" s="497">
        <v>1123.044</v>
      </c>
      <c r="L33" s="497">
        <v>216.921</v>
      </c>
      <c r="M33" s="497">
        <v>789.441</v>
      </c>
      <c r="N33" s="497">
        <v>236.039</v>
      </c>
      <c r="O33" s="497">
        <v>205.025</v>
      </c>
      <c r="P33" s="497">
        <v>48.836</v>
      </c>
      <c r="Q33" s="497">
        <v>0.129</v>
      </c>
      <c r="R33" s="497">
        <v>335.527</v>
      </c>
      <c r="S33" s="497">
        <v>80.444</v>
      </c>
      <c r="T33" s="497">
        <v>1090.563</v>
      </c>
      <c r="U33" s="497">
        <v>347.523</v>
      </c>
      <c r="V33" s="497">
        <v>692.73</v>
      </c>
      <c r="W33" s="497">
        <v>166.164</v>
      </c>
      <c r="X33" s="497">
        <v>0.235</v>
      </c>
      <c r="Y33" s="497">
        <v>0.357</v>
      </c>
      <c r="Z33" s="497">
        <v>0.325</v>
      </c>
      <c r="AA33" s="497">
        <v>1502.996</v>
      </c>
      <c r="AB33" s="498">
        <v>7063.655</v>
      </c>
      <c r="AC33" s="497">
        <v>2568.064</v>
      </c>
      <c r="AD33" s="116" t="s">
        <v>12</v>
      </c>
      <c r="AE33" s="558">
        <f t="shared" si="0"/>
        <v>25.723273000000002</v>
      </c>
      <c r="AF33" s="106" t="s">
        <v>88</v>
      </c>
      <c r="AG33" s="94">
        <v>0.714147</v>
      </c>
      <c r="AH33" s="106" t="s">
        <v>304</v>
      </c>
    </row>
    <row r="34" spans="1:34" ht="15" customHeight="1">
      <c r="A34" s="117" t="s">
        <v>164</v>
      </c>
      <c r="B34" s="500">
        <v>1294.711</v>
      </c>
      <c r="C34" s="501">
        <v>926.975</v>
      </c>
      <c r="D34" s="501">
        <v>1393.22</v>
      </c>
      <c r="E34" s="501">
        <v>2775.763</v>
      </c>
      <c r="F34" s="501">
        <v>12211.39</v>
      </c>
      <c r="G34" s="501">
        <v>145.282</v>
      </c>
      <c r="H34" s="501">
        <v>9668.458</v>
      </c>
      <c r="I34" s="501">
        <v>4937.605</v>
      </c>
      <c r="J34" s="501">
        <v>32959.187</v>
      </c>
      <c r="K34" s="501">
        <v>10768.565</v>
      </c>
      <c r="L34" s="501">
        <v>882.436</v>
      </c>
      <c r="M34" s="501">
        <v>11023.108</v>
      </c>
      <c r="N34" s="501">
        <v>2346.417</v>
      </c>
      <c r="O34" s="501">
        <v>548.905</v>
      </c>
      <c r="P34" s="501">
        <v>731.782</v>
      </c>
      <c r="Q34" s="501">
        <v>369.783</v>
      </c>
      <c r="R34" s="501">
        <v>1264.705</v>
      </c>
      <c r="S34" s="501">
        <v>1156.942</v>
      </c>
      <c r="T34" s="501">
        <v>8196.315</v>
      </c>
      <c r="U34" s="501">
        <v>1537.685</v>
      </c>
      <c r="V34" s="501">
        <v>5125.815</v>
      </c>
      <c r="W34" s="501">
        <v>5505.863</v>
      </c>
      <c r="X34" s="501">
        <v>821.45</v>
      </c>
      <c r="Y34" s="501">
        <v>138.924</v>
      </c>
      <c r="Z34" s="501">
        <v>431.669</v>
      </c>
      <c r="AA34" s="501">
        <v>1013.019</v>
      </c>
      <c r="AB34" s="501">
        <v>2576.202</v>
      </c>
      <c r="AC34" s="502">
        <v>21318.265</v>
      </c>
      <c r="AD34" s="367" t="s">
        <v>164</v>
      </c>
      <c r="AE34" s="558">
        <f t="shared" si="0"/>
        <v>142.070441</v>
      </c>
      <c r="AF34" s="106" t="s">
        <v>13</v>
      </c>
      <c r="AG34" s="94">
        <v>142.070441</v>
      </c>
      <c r="AH34" s="106" t="s">
        <v>13</v>
      </c>
    </row>
    <row r="35" ht="8.25" customHeight="1"/>
    <row r="36" ht="12.75">
      <c r="A36" s="118" t="s">
        <v>268</v>
      </c>
    </row>
    <row r="37" spans="1:2" ht="11.25" customHeight="1">
      <c r="A37" s="119" t="s">
        <v>269</v>
      </c>
      <c r="B37" s="96" t="s">
        <v>270</v>
      </c>
    </row>
    <row r="38" ht="13.5" customHeight="1"/>
  </sheetData>
  <sheetProtection/>
  <mergeCells count="3">
    <mergeCell ref="A2:AD2"/>
    <mergeCell ref="A3:AD3"/>
    <mergeCell ref="A4:AD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00"/>
  </sheetPr>
  <dimension ref="A1:AL50"/>
  <sheetViews>
    <sheetView zoomScalePageLayoutView="0" workbookViewId="0" topLeftCell="A1">
      <selection activeCell="A1" sqref="A1"/>
    </sheetView>
  </sheetViews>
  <sheetFormatPr defaultColWidth="9.140625" defaultRowHeight="12.75"/>
  <cols>
    <col min="1" max="1" width="2.7109375" style="96" customWidth="1"/>
    <col min="2" max="2" width="3.8515625" style="96" customWidth="1"/>
    <col min="3" max="4" width="6.7109375" style="96" hidden="1" customWidth="1"/>
    <col min="5" max="5" width="6.140625" style="96" customWidth="1"/>
    <col min="6" max="9" width="6.28125" style="96" customWidth="1"/>
    <col min="10" max="13" width="6.140625" style="96" customWidth="1"/>
    <col min="14" max="14" width="8.00390625" style="96" customWidth="1"/>
    <col min="15" max="22" width="6.140625" style="96" customWidth="1"/>
    <col min="23" max="27" width="6.421875" style="96" customWidth="1"/>
    <col min="28" max="16384" width="9.140625" style="96" customWidth="1"/>
  </cols>
  <sheetData>
    <row r="1" spans="2:28" ht="14.25" customHeight="1">
      <c r="B1" s="1106"/>
      <c r="C1" s="1106"/>
      <c r="D1" s="253"/>
      <c r="E1" s="95"/>
      <c r="F1" s="95"/>
      <c r="G1" s="95"/>
      <c r="H1" s="95"/>
      <c r="I1" s="95"/>
      <c r="J1" s="95"/>
      <c r="K1" s="95"/>
      <c r="L1" s="95"/>
      <c r="M1" s="95"/>
      <c r="N1" s="95"/>
      <c r="O1" s="95"/>
      <c r="P1" s="95"/>
      <c r="AB1" s="97" t="s">
        <v>128</v>
      </c>
    </row>
    <row r="2" spans="2:28" ht="30" customHeight="1">
      <c r="B2" s="1059" t="s">
        <v>195</v>
      </c>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row>
    <row r="3" spans="2:28" ht="15" customHeight="1">
      <c r="B3" s="1107" t="s">
        <v>196</v>
      </c>
      <c r="C3" s="1107"/>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107"/>
      <c r="AB3" s="1107"/>
    </row>
    <row r="4" spans="2:28" ht="12.75">
      <c r="B4" s="123"/>
      <c r="C4" s="123"/>
      <c r="E4" s="221"/>
      <c r="F4" s="221"/>
      <c r="G4" s="221"/>
      <c r="H4" s="221"/>
      <c r="I4" s="221"/>
      <c r="J4" s="255"/>
      <c r="K4" s="255"/>
      <c r="L4" s="255"/>
      <c r="M4" s="255"/>
      <c r="N4" s="255"/>
      <c r="O4" s="255"/>
      <c r="V4" s="256" t="s">
        <v>21</v>
      </c>
      <c r="W4" s="257"/>
      <c r="X4" s="257"/>
      <c r="Y4" s="257"/>
      <c r="Z4" s="257"/>
      <c r="AA4" s="257"/>
      <c r="AB4" s="257"/>
    </row>
    <row r="5" spans="2:28" ht="24.75" customHeight="1">
      <c r="B5" s="124"/>
      <c r="C5" s="258">
        <v>1970</v>
      </c>
      <c r="D5" s="259">
        <v>1980</v>
      </c>
      <c r="E5" s="259">
        <v>1990</v>
      </c>
      <c r="F5" s="259">
        <v>1991</v>
      </c>
      <c r="G5" s="259">
        <v>1992</v>
      </c>
      <c r="H5" s="259">
        <v>1993</v>
      </c>
      <c r="I5" s="259">
        <v>1994</v>
      </c>
      <c r="J5" s="259">
        <v>1995</v>
      </c>
      <c r="K5" s="259">
        <v>1996</v>
      </c>
      <c r="L5" s="259">
        <v>1997</v>
      </c>
      <c r="M5" s="259">
        <v>1998</v>
      </c>
      <c r="N5" s="259">
        <v>1999</v>
      </c>
      <c r="O5" s="259">
        <v>2000</v>
      </c>
      <c r="P5" s="259">
        <v>2001</v>
      </c>
      <c r="Q5" s="259">
        <v>2002</v>
      </c>
      <c r="R5" s="259">
        <v>2003</v>
      </c>
      <c r="S5" s="259">
        <v>2004</v>
      </c>
      <c r="T5" s="259">
        <v>2005</v>
      </c>
      <c r="U5" s="259">
        <v>2006</v>
      </c>
      <c r="V5" s="259">
        <v>2007</v>
      </c>
      <c r="W5" s="259">
        <v>2008</v>
      </c>
      <c r="X5" s="259">
        <v>2009</v>
      </c>
      <c r="Y5" s="259">
        <v>2010</v>
      </c>
      <c r="Z5" s="259">
        <v>2011</v>
      </c>
      <c r="AA5" s="260">
        <v>2012</v>
      </c>
      <c r="AB5" s="224"/>
    </row>
    <row r="6" spans="2:28" ht="12.75" customHeight="1">
      <c r="B6" s="129" t="s">
        <v>260</v>
      </c>
      <c r="C6" s="261"/>
      <c r="D6" s="262"/>
      <c r="E6" s="262">
        <f aca="true" t="shared" si="0" ref="E6:X6">SUM(E9:E36)</f>
        <v>42206.6</v>
      </c>
      <c r="F6" s="262">
        <f t="shared" si="0"/>
        <v>43243</v>
      </c>
      <c r="G6" s="262">
        <f t="shared" si="0"/>
        <v>45360</v>
      </c>
      <c r="H6" s="262">
        <f t="shared" si="0"/>
        <v>46236</v>
      </c>
      <c r="I6" s="262">
        <f t="shared" si="0"/>
        <v>46916</v>
      </c>
      <c r="J6" s="860">
        <f t="shared" si="0"/>
        <v>48297</v>
      </c>
      <c r="K6" s="860">
        <f t="shared" si="0"/>
        <v>49444</v>
      </c>
      <c r="L6" s="860">
        <f t="shared" si="0"/>
        <v>50768.9</v>
      </c>
      <c r="M6" s="860">
        <f t="shared" si="0"/>
        <v>52655.1</v>
      </c>
      <c r="N6" s="860">
        <f t="shared" si="0"/>
        <v>54296.1</v>
      </c>
      <c r="O6" s="860">
        <f t="shared" si="0"/>
        <v>55116.1</v>
      </c>
      <c r="P6" s="860">
        <f t="shared" si="0"/>
        <v>56826.7</v>
      </c>
      <c r="Q6" s="860">
        <f t="shared" si="0"/>
        <v>58118</v>
      </c>
      <c r="R6" s="860">
        <f t="shared" si="0"/>
        <v>59577.5</v>
      </c>
      <c r="S6" s="860">
        <f t="shared" si="0"/>
        <v>61225.99</v>
      </c>
      <c r="T6" s="860">
        <f t="shared" si="0"/>
        <v>63139.94</v>
      </c>
      <c r="U6" s="860">
        <f t="shared" si="0"/>
        <v>64718.44</v>
      </c>
      <c r="V6" s="860">
        <f t="shared" si="0"/>
        <v>66274.8</v>
      </c>
      <c r="W6" s="860">
        <f t="shared" si="0"/>
        <v>67813.4</v>
      </c>
      <c r="X6" s="860">
        <f t="shared" si="0"/>
        <v>70037.3</v>
      </c>
      <c r="Y6" s="860">
        <f>SUM(Y9:Y36)</f>
        <v>71191.8</v>
      </c>
      <c r="Z6" s="860">
        <f>SUM(Z9:Z36)</f>
        <v>71902.22</v>
      </c>
      <c r="AA6" s="860">
        <f>SUM(AA9:AA36)</f>
        <v>73245.82</v>
      </c>
      <c r="AB6" s="129" t="s">
        <v>260</v>
      </c>
    </row>
    <row r="7" spans="2:28" ht="12.75" customHeight="1">
      <c r="B7" s="133" t="s">
        <v>89</v>
      </c>
      <c r="C7" s="263">
        <v>16051</v>
      </c>
      <c r="D7" s="264">
        <v>30454</v>
      </c>
      <c r="E7" s="264">
        <f aca="true" t="shared" si="1" ref="E7:X7">SUM(E9,E12,E13,E15,E16,E17,E18,E20,E24,E27,E28,E30,E34,E35,E36)</f>
        <v>39646.6</v>
      </c>
      <c r="F7" s="264">
        <f t="shared" si="1"/>
        <v>40695</v>
      </c>
      <c r="G7" s="264">
        <f t="shared" si="1"/>
        <v>42776</v>
      </c>
      <c r="H7" s="264">
        <f t="shared" si="1"/>
        <v>43579</v>
      </c>
      <c r="I7" s="264">
        <f t="shared" si="1"/>
        <v>44203</v>
      </c>
      <c r="J7" s="861">
        <f t="shared" si="1"/>
        <v>45493</v>
      </c>
      <c r="K7" s="861">
        <f t="shared" si="1"/>
        <v>46529</v>
      </c>
      <c r="L7" s="861">
        <f t="shared" si="1"/>
        <v>47658.9</v>
      </c>
      <c r="M7" s="861">
        <f t="shared" si="1"/>
        <v>49327.1</v>
      </c>
      <c r="N7" s="861">
        <f t="shared" si="1"/>
        <v>50809.1</v>
      </c>
      <c r="O7" s="861">
        <f t="shared" si="1"/>
        <v>51476.1</v>
      </c>
      <c r="P7" s="861">
        <f t="shared" si="1"/>
        <v>53099.7</v>
      </c>
      <c r="Q7" s="861">
        <f t="shared" si="1"/>
        <v>54061</v>
      </c>
      <c r="R7" s="861">
        <f t="shared" si="1"/>
        <v>55274.5</v>
      </c>
      <c r="S7" s="861">
        <f t="shared" si="1"/>
        <v>56302.99</v>
      </c>
      <c r="T7" s="861">
        <f t="shared" si="1"/>
        <v>57900.94</v>
      </c>
      <c r="U7" s="861">
        <f t="shared" si="1"/>
        <v>59070.94</v>
      </c>
      <c r="V7" s="861">
        <f t="shared" si="1"/>
        <v>60429.3</v>
      </c>
      <c r="W7" s="861">
        <f t="shared" si="1"/>
        <v>61435.4</v>
      </c>
      <c r="X7" s="861">
        <f t="shared" si="1"/>
        <v>63399.3</v>
      </c>
      <c r="Y7" s="861">
        <f>SUM(Y9,Y12,Y13,Y15,Y16,Y17,Y18,Y20,Y24,Y27,Y28,Y30,Y34,Y35,Y36)</f>
        <v>64243.1</v>
      </c>
      <c r="Z7" s="861">
        <f>SUM(Z9,Z12,Z13,Z15,Z16,Z17,Z18,Z20,Z24,Z27,Z28,Z30,Z34,Z35,Z36)</f>
        <v>64641.02</v>
      </c>
      <c r="AA7" s="861">
        <f>SUM(AA9,AA12,AA13,AA15,AA16,AA17,AA18,AA20,AA24,AA27,AA28,AA30,AA34,AA35,AA36)</f>
        <v>65391.52</v>
      </c>
      <c r="AB7" s="133" t="s">
        <v>89</v>
      </c>
    </row>
    <row r="8" spans="2:28" ht="12.75" customHeight="1">
      <c r="B8" s="134" t="s">
        <v>261</v>
      </c>
      <c r="C8" s="265"/>
      <c r="D8" s="266"/>
      <c r="E8" s="266">
        <f aca="true" t="shared" si="2" ref="E8:X8">E6-E7</f>
        <v>2560</v>
      </c>
      <c r="F8" s="266">
        <f t="shared" si="2"/>
        <v>2548</v>
      </c>
      <c r="G8" s="266">
        <f t="shared" si="2"/>
        <v>2584</v>
      </c>
      <c r="H8" s="266">
        <f t="shared" si="2"/>
        <v>2657</v>
      </c>
      <c r="I8" s="266">
        <f t="shared" si="2"/>
        <v>2713</v>
      </c>
      <c r="J8" s="266">
        <f t="shared" si="2"/>
        <v>2804</v>
      </c>
      <c r="K8" s="266">
        <f t="shared" si="2"/>
        <v>2915</v>
      </c>
      <c r="L8" s="266">
        <f t="shared" si="2"/>
        <v>3110</v>
      </c>
      <c r="M8" s="266">
        <f t="shared" si="2"/>
        <v>3328</v>
      </c>
      <c r="N8" s="266">
        <f t="shared" si="2"/>
        <v>3487</v>
      </c>
      <c r="O8" s="266">
        <f t="shared" si="2"/>
        <v>3640</v>
      </c>
      <c r="P8" s="266">
        <f t="shared" si="2"/>
        <v>3727</v>
      </c>
      <c r="Q8" s="266">
        <f t="shared" si="2"/>
        <v>4057</v>
      </c>
      <c r="R8" s="266">
        <f t="shared" si="2"/>
        <v>4303</v>
      </c>
      <c r="S8" s="266">
        <f t="shared" si="2"/>
        <v>4923</v>
      </c>
      <c r="T8" s="266">
        <f t="shared" si="2"/>
        <v>5239</v>
      </c>
      <c r="U8" s="266">
        <f t="shared" si="2"/>
        <v>5647.5</v>
      </c>
      <c r="V8" s="266">
        <f t="shared" si="2"/>
        <v>5845.5</v>
      </c>
      <c r="W8" s="266">
        <f t="shared" si="2"/>
        <v>6377.999999999993</v>
      </c>
      <c r="X8" s="266">
        <f t="shared" si="2"/>
        <v>6638</v>
      </c>
      <c r="Y8" s="266">
        <f>Y6-Y7</f>
        <v>6948.700000000004</v>
      </c>
      <c r="Z8" s="266">
        <f>Z6-Z7</f>
        <v>7261.200000000004</v>
      </c>
      <c r="AA8" s="266">
        <f>AA6-AA7</f>
        <v>7854.30000000001</v>
      </c>
      <c r="AB8" s="134" t="s">
        <v>261</v>
      </c>
    </row>
    <row r="9" spans="1:28" ht="12.75" customHeight="1">
      <c r="A9" s="114"/>
      <c r="B9" s="102" t="s">
        <v>60</v>
      </c>
      <c r="C9" s="267">
        <v>488</v>
      </c>
      <c r="D9" s="268">
        <v>1203</v>
      </c>
      <c r="E9" s="268">
        <v>1666</v>
      </c>
      <c r="F9" s="268">
        <v>1650</v>
      </c>
      <c r="G9" s="268">
        <v>1658</v>
      </c>
      <c r="H9" s="268">
        <v>1665</v>
      </c>
      <c r="I9" s="268">
        <v>1666</v>
      </c>
      <c r="J9" s="268">
        <v>1666</v>
      </c>
      <c r="K9" s="268">
        <v>1674</v>
      </c>
      <c r="L9" s="268">
        <v>1678.9</v>
      </c>
      <c r="M9" s="268">
        <v>1682.1</v>
      </c>
      <c r="N9" s="268">
        <v>1691.1</v>
      </c>
      <c r="O9" s="268">
        <v>1702.1</v>
      </c>
      <c r="P9" s="268">
        <v>1726.7</v>
      </c>
      <c r="Q9" s="268">
        <v>1729</v>
      </c>
      <c r="R9" s="268">
        <v>1729</v>
      </c>
      <c r="S9" s="268">
        <v>1747</v>
      </c>
      <c r="T9" s="153">
        <v>1747</v>
      </c>
      <c r="U9" s="268">
        <v>1763</v>
      </c>
      <c r="V9" s="268">
        <v>1763</v>
      </c>
      <c r="W9" s="862">
        <v>1763</v>
      </c>
      <c r="X9" s="268">
        <v>1763</v>
      </c>
      <c r="Y9" s="268">
        <v>1763</v>
      </c>
      <c r="Z9" s="863">
        <v>1763</v>
      </c>
      <c r="AA9" s="864">
        <v>1763</v>
      </c>
      <c r="AB9" s="269" t="s">
        <v>60</v>
      </c>
    </row>
    <row r="10" spans="1:28" ht="12.75" customHeight="1">
      <c r="A10" s="114"/>
      <c r="B10" s="133" t="s">
        <v>101</v>
      </c>
      <c r="C10" s="270"/>
      <c r="D10" s="271"/>
      <c r="E10" s="271">
        <v>273</v>
      </c>
      <c r="F10" s="865">
        <v>273</v>
      </c>
      <c r="G10" s="865">
        <v>273</v>
      </c>
      <c r="H10" s="271">
        <v>276</v>
      </c>
      <c r="I10" s="271">
        <v>276</v>
      </c>
      <c r="J10" s="271">
        <v>277</v>
      </c>
      <c r="K10" s="271">
        <v>277</v>
      </c>
      <c r="L10" s="271">
        <v>314</v>
      </c>
      <c r="M10" s="271">
        <v>314</v>
      </c>
      <c r="N10" s="271">
        <v>314</v>
      </c>
      <c r="O10" s="271">
        <v>319</v>
      </c>
      <c r="P10" s="271">
        <v>324</v>
      </c>
      <c r="Q10" s="271">
        <v>324</v>
      </c>
      <c r="R10" s="271">
        <v>328</v>
      </c>
      <c r="S10" s="271">
        <v>331</v>
      </c>
      <c r="T10" s="145">
        <v>331</v>
      </c>
      <c r="U10" s="271">
        <v>394</v>
      </c>
      <c r="V10" s="271">
        <v>418</v>
      </c>
      <c r="W10" s="271">
        <v>418</v>
      </c>
      <c r="X10" s="271">
        <v>418</v>
      </c>
      <c r="Y10" s="271">
        <v>437</v>
      </c>
      <c r="Z10" s="271">
        <v>458</v>
      </c>
      <c r="AA10" s="866">
        <v>541</v>
      </c>
      <c r="AB10" s="233" t="s">
        <v>101</v>
      </c>
    </row>
    <row r="11" spans="1:28" ht="12.75" customHeight="1">
      <c r="A11" s="114"/>
      <c r="B11" s="102" t="s">
        <v>61</v>
      </c>
      <c r="C11" s="272"/>
      <c r="D11" s="273"/>
      <c r="E11" s="268">
        <v>357</v>
      </c>
      <c r="F11" s="268">
        <v>362</v>
      </c>
      <c r="G11" s="268">
        <v>366</v>
      </c>
      <c r="H11" s="268">
        <v>390</v>
      </c>
      <c r="I11" s="268">
        <v>392</v>
      </c>
      <c r="J11" s="268">
        <v>414</v>
      </c>
      <c r="K11" s="268">
        <v>423</v>
      </c>
      <c r="L11" s="268">
        <v>486</v>
      </c>
      <c r="M11" s="268">
        <v>499</v>
      </c>
      <c r="N11" s="268">
        <v>499</v>
      </c>
      <c r="O11" s="268">
        <v>501</v>
      </c>
      <c r="P11" s="268">
        <v>517</v>
      </c>
      <c r="Q11" s="268">
        <v>518</v>
      </c>
      <c r="R11" s="268">
        <v>518</v>
      </c>
      <c r="S11" s="268">
        <v>546</v>
      </c>
      <c r="T11" s="153">
        <v>564</v>
      </c>
      <c r="U11" s="268">
        <v>633</v>
      </c>
      <c r="V11" s="268">
        <v>657</v>
      </c>
      <c r="W11" s="268">
        <v>691</v>
      </c>
      <c r="X11" s="268">
        <v>729</v>
      </c>
      <c r="Y11" s="268">
        <v>734</v>
      </c>
      <c r="Z11" s="268">
        <v>745</v>
      </c>
      <c r="AA11" s="867">
        <v>751</v>
      </c>
      <c r="AB11" s="269" t="s">
        <v>61</v>
      </c>
    </row>
    <row r="12" spans="1:28" ht="12.75" customHeight="1">
      <c r="A12" s="114"/>
      <c r="B12" s="133" t="s">
        <v>14</v>
      </c>
      <c r="C12" s="270">
        <v>184</v>
      </c>
      <c r="D12" s="271">
        <v>516</v>
      </c>
      <c r="E12" s="271">
        <v>611</v>
      </c>
      <c r="F12" s="271">
        <v>663</v>
      </c>
      <c r="G12" s="271">
        <v>663</v>
      </c>
      <c r="H12" s="271">
        <v>706</v>
      </c>
      <c r="I12" s="271">
        <v>747</v>
      </c>
      <c r="J12" s="271">
        <v>796</v>
      </c>
      <c r="K12" s="271">
        <v>797</v>
      </c>
      <c r="L12" s="271">
        <v>834</v>
      </c>
      <c r="M12" s="271">
        <v>863</v>
      </c>
      <c r="N12" s="271">
        <v>902</v>
      </c>
      <c r="O12" s="271">
        <v>923</v>
      </c>
      <c r="P12" s="271">
        <v>978</v>
      </c>
      <c r="Q12" s="271">
        <v>972</v>
      </c>
      <c r="R12" s="271">
        <v>1010</v>
      </c>
      <c r="S12" s="271">
        <v>1027</v>
      </c>
      <c r="T12" s="145">
        <v>1032</v>
      </c>
      <c r="U12" s="271">
        <v>1032</v>
      </c>
      <c r="V12" s="271">
        <v>1111</v>
      </c>
      <c r="W12" s="271">
        <v>1128</v>
      </c>
      <c r="X12" s="271">
        <v>1130</v>
      </c>
      <c r="Y12" s="271">
        <v>1130</v>
      </c>
      <c r="Z12" s="271">
        <v>1143</v>
      </c>
      <c r="AA12" s="866">
        <v>1195</v>
      </c>
      <c r="AB12" s="233" t="s">
        <v>14</v>
      </c>
    </row>
    <row r="13" spans="1:28" ht="12.75" customHeight="1">
      <c r="A13" s="114"/>
      <c r="B13" s="102" t="s">
        <v>63</v>
      </c>
      <c r="C13" s="267">
        <v>6061</v>
      </c>
      <c r="D13" s="268">
        <v>9225</v>
      </c>
      <c r="E13" s="268">
        <v>10854</v>
      </c>
      <c r="F13" s="268">
        <v>10955</v>
      </c>
      <c r="G13" s="268">
        <v>11013</v>
      </c>
      <c r="H13" s="268">
        <v>11080</v>
      </c>
      <c r="I13" s="268">
        <v>11143</v>
      </c>
      <c r="J13" s="268">
        <v>11190</v>
      </c>
      <c r="K13" s="268">
        <v>11246</v>
      </c>
      <c r="L13" s="268">
        <v>11309</v>
      </c>
      <c r="M13" s="268">
        <v>11427</v>
      </c>
      <c r="N13" s="268">
        <v>11515</v>
      </c>
      <c r="O13" s="268">
        <v>11712</v>
      </c>
      <c r="P13" s="268">
        <v>11786</v>
      </c>
      <c r="Q13" s="268">
        <v>12037</v>
      </c>
      <c r="R13" s="268">
        <v>12044</v>
      </c>
      <c r="S13" s="268">
        <v>12174</v>
      </c>
      <c r="T13" s="153">
        <v>12363</v>
      </c>
      <c r="U13" s="268">
        <v>12531</v>
      </c>
      <c r="V13" s="268">
        <v>12594</v>
      </c>
      <c r="W13" s="268">
        <v>12645</v>
      </c>
      <c r="X13" s="268">
        <v>12813</v>
      </c>
      <c r="Y13" s="268">
        <v>12819</v>
      </c>
      <c r="Z13" s="268">
        <v>12845</v>
      </c>
      <c r="AA13" s="867">
        <v>12879</v>
      </c>
      <c r="AB13" s="269" t="s">
        <v>63</v>
      </c>
    </row>
    <row r="14" spans="1:28" ht="12.75" customHeight="1">
      <c r="A14" s="114"/>
      <c r="B14" s="133" t="s">
        <v>64</v>
      </c>
      <c r="C14" s="270"/>
      <c r="D14" s="271"/>
      <c r="E14" s="271">
        <v>41</v>
      </c>
      <c r="F14" s="271">
        <v>50</v>
      </c>
      <c r="G14" s="271">
        <v>60</v>
      </c>
      <c r="H14" s="271">
        <v>62</v>
      </c>
      <c r="I14" s="271">
        <v>64</v>
      </c>
      <c r="J14" s="271">
        <v>65</v>
      </c>
      <c r="K14" s="271">
        <v>65</v>
      </c>
      <c r="L14" s="271">
        <v>68</v>
      </c>
      <c r="M14" s="271">
        <v>74</v>
      </c>
      <c r="N14" s="271">
        <v>87</v>
      </c>
      <c r="O14" s="271">
        <v>93</v>
      </c>
      <c r="P14" s="271">
        <v>93</v>
      </c>
      <c r="Q14" s="271">
        <v>98</v>
      </c>
      <c r="R14" s="271">
        <v>98</v>
      </c>
      <c r="S14" s="271">
        <v>96</v>
      </c>
      <c r="T14" s="145">
        <v>99</v>
      </c>
      <c r="U14" s="271">
        <v>99</v>
      </c>
      <c r="V14" s="271">
        <v>96</v>
      </c>
      <c r="W14" s="271">
        <v>104</v>
      </c>
      <c r="X14" s="271">
        <v>100</v>
      </c>
      <c r="Y14" s="271">
        <v>115</v>
      </c>
      <c r="Z14" s="271">
        <v>115</v>
      </c>
      <c r="AA14" s="866">
        <v>124</v>
      </c>
      <c r="AB14" s="233" t="s">
        <v>64</v>
      </c>
    </row>
    <row r="15" spans="1:28" ht="12.75" customHeight="1">
      <c r="A15" s="114"/>
      <c r="B15" s="102" t="s">
        <v>68</v>
      </c>
      <c r="C15" s="267">
        <v>0</v>
      </c>
      <c r="D15" s="268">
        <v>0</v>
      </c>
      <c r="E15" s="268">
        <v>26</v>
      </c>
      <c r="F15" s="268">
        <v>32</v>
      </c>
      <c r="G15" s="268">
        <v>32</v>
      </c>
      <c r="H15" s="268">
        <v>53</v>
      </c>
      <c r="I15" s="268">
        <v>72</v>
      </c>
      <c r="J15" s="268">
        <v>70</v>
      </c>
      <c r="K15" s="268">
        <v>80</v>
      </c>
      <c r="L15" s="268">
        <v>94</v>
      </c>
      <c r="M15" s="268">
        <v>103</v>
      </c>
      <c r="N15" s="268">
        <v>103</v>
      </c>
      <c r="O15" s="268">
        <v>103</v>
      </c>
      <c r="P15" s="268">
        <v>125</v>
      </c>
      <c r="Q15" s="268">
        <v>125</v>
      </c>
      <c r="R15" s="268">
        <v>176</v>
      </c>
      <c r="S15" s="268">
        <v>192</v>
      </c>
      <c r="T15" s="153">
        <v>247</v>
      </c>
      <c r="U15" s="268">
        <v>270</v>
      </c>
      <c r="V15" s="268">
        <v>269</v>
      </c>
      <c r="W15" s="268">
        <v>423</v>
      </c>
      <c r="X15" s="268">
        <v>663</v>
      </c>
      <c r="Y15" s="268">
        <v>900</v>
      </c>
      <c r="Z15" s="268">
        <v>900</v>
      </c>
      <c r="AA15" s="867">
        <v>900</v>
      </c>
      <c r="AB15" s="269" t="s">
        <v>68</v>
      </c>
    </row>
    <row r="16" spans="1:28" ht="12.75" customHeight="1">
      <c r="A16" s="114"/>
      <c r="B16" s="133" t="s">
        <v>15</v>
      </c>
      <c r="C16" s="270">
        <v>11</v>
      </c>
      <c r="D16" s="271">
        <v>91</v>
      </c>
      <c r="E16" s="271">
        <v>190</v>
      </c>
      <c r="F16" s="271">
        <v>225</v>
      </c>
      <c r="G16" s="271">
        <v>280</v>
      </c>
      <c r="H16" s="271">
        <v>330</v>
      </c>
      <c r="I16" s="271">
        <v>380</v>
      </c>
      <c r="J16" s="865">
        <v>421</v>
      </c>
      <c r="K16" s="865">
        <v>467</v>
      </c>
      <c r="L16" s="865">
        <v>509</v>
      </c>
      <c r="M16" s="865">
        <v>526</v>
      </c>
      <c r="N16" s="865">
        <v>547</v>
      </c>
      <c r="O16" s="865">
        <v>615</v>
      </c>
      <c r="P16" s="865">
        <v>743</v>
      </c>
      <c r="Q16" s="865">
        <v>870</v>
      </c>
      <c r="R16" s="271">
        <v>916.5</v>
      </c>
      <c r="S16" s="271">
        <v>916.5</v>
      </c>
      <c r="T16" s="145">
        <v>916.5</v>
      </c>
      <c r="U16" s="271">
        <v>916.5</v>
      </c>
      <c r="V16" s="271">
        <v>916.5</v>
      </c>
      <c r="W16" s="271">
        <v>916.5</v>
      </c>
      <c r="X16" s="271">
        <v>1658.5</v>
      </c>
      <c r="Y16" s="271">
        <v>1658.5</v>
      </c>
      <c r="Z16" s="271">
        <v>1658.5</v>
      </c>
      <c r="AA16" s="866">
        <v>1658.5</v>
      </c>
      <c r="AB16" s="233" t="s">
        <v>15</v>
      </c>
    </row>
    <row r="17" spans="1:28" ht="12.75" customHeight="1">
      <c r="A17" s="114"/>
      <c r="B17" s="102" t="s">
        <v>66</v>
      </c>
      <c r="C17" s="267">
        <v>387</v>
      </c>
      <c r="D17" s="268">
        <v>2008</v>
      </c>
      <c r="E17" s="268">
        <v>4976</v>
      </c>
      <c r="F17" s="268">
        <v>5235</v>
      </c>
      <c r="G17" s="268">
        <v>6486</v>
      </c>
      <c r="H17" s="268">
        <v>6577</v>
      </c>
      <c r="I17" s="268">
        <v>6497</v>
      </c>
      <c r="J17" s="268">
        <v>6962</v>
      </c>
      <c r="K17" s="268">
        <v>7295</v>
      </c>
      <c r="L17" s="268">
        <v>7750</v>
      </c>
      <c r="M17" s="268">
        <v>8269</v>
      </c>
      <c r="N17" s="268">
        <v>8893</v>
      </c>
      <c r="O17" s="268">
        <v>9049</v>
      </c>
      <c r="P17" s="268">
        <v>9571</v>
      </c>
      <c r="Q17" s="268">
        <v>9739</v>
      </c>
      <c r="R17" s="268">
        <v>10296</v>
      </c>
      <c r="S17" s="268">
        <v>10747</v>
      </c>
      <c r="T17" s="153">
        <v>11432</v>
      </c>
      <c r="U17" s="268">
        <v>12073</v>
      </c>
      <c r="V17" s="268">
        <v>13013</v>
      </c>
      <c r="W17" s="268">
        <v>13518</v>
      </c>
      <c r="X17" s="268">
        <v>14021</v>
      </c>
      <c r="Y17" s="268">
        <v>14262</v>
      </c>
      <c r="Z17" s="268">
        <v>14554</v>
      </c>
      <c r="AA17" s="867">
        <v>14701</v>
      </c>
      <c r="AB17" s="269" t="s">
        <v>66</v>
      </c>
    </row>
    <row r="18" spans="1:28" ht="12.75" customHeight="1">
      <c r="A18" s="114"/>
      <c r="B18" s="133" t="s">
        <v>67</v>
      </c>
      <c r="C18" s="270">
        <v>1553</v>
      </c>
      <c r="D18" s="271">
        <v>4862</v>
      </c>
      <c r="E18" s="271">
        <v>6824</v>
      </c>
      <c r="F18" s="271">
        <v>7080</v>
      </c>
      <c r="G18" s="271">
        <v>7408</v>
      </c>
      <c r="H18" s="271">
        <v>7614</v>
      </c>
      <c r="I18" s="271">
        <v>7956</v>
      </c>
      <c r="J18" s="271">
        <v>8275</v>
      </c>
      <c r="K18" s="271">
        <v>8596</v>
      </c>
      <c r="L18" s="271">
        <v>8864</v>
      </c>
      <c r="M18" s="271">
        <v>9303</v>
      </c>
      <c r="N18" s="271">
        <v>9626</v>
      </c>
      <c r="O18" s="271">
        <v>9766</v>
      </c>
      <c r="P18" s="271">
        <v>10068</v>
      </c>
      <c r="Q18" s="271">
        <v>10223</v>
      </c>
      <c r="R18" s="271">
        <v>10379</v>
      </c>
      <c r="S18" s="271">
        <v>10486</v>
      </c>
      <c r="T18" s="145">
        <v>10798</v>
      </c>
      <c r="U18" s="271">
        <v>10848</v>
      </c>
      <c r="V18" s="271">
        <v>10958</v>
      </c>
      <c r="W18" s="271">
        <v>11042</v>
      </c>
      <c r="X18" s="271">
        <v>11163</v>
      </c>
      <c r="Y18" s="271">
        <v>11392</v>
      </c>
      <c r="Z18" s="271">
        <v>11412</v>
      </c>
      <c r="AA18" s="866">
        <v>11465</v>
      </c>
      <c r="AB18" s="233" t="s">
        <v>67</v>
      </c>
    </row>
    <row r="19" spans="1:28" ht="12.75" customHeight="1">
      <c r="A19" s="114"/>
      <c r="B19" s="102" t="s">
        <v>148</v>
      </c>
      <c r="C19" s="267"/>
      <c r="D19" s="268"/>
      <c r="E19" s="268">
        <v>291</v>
      </c>
      <c r="F19" s="268">
        <v>302</v>
      </c>
      <c r="G19" s="268">
        <v>292</v>
      </c>
      <c r="H19" s="268">
        <v>302</v>
      </c>
      <c r="I19" s="268">
        <v>302</v>
      </c>
      <c r="J19" s="268">
        <v>302</v>
      </c>
      <c r="K19" s="268">
        <v>318</v>
      </c>
      <c r="L19" s="268">
        <v>330</v>
      </c>
      <c r="M19" s="268">
        <v>330</v>
      </c>
      <c r="N19" s="268">
        <v>382</v>
      </c>
      <c r="O19" s="268">
        <v>411</v>
      </c>
      <c r="P19" s="268">
        <v>429</v>
      </c>
      <c r="Q19" s="268">
        <v>613</v>
      </c>
      <c r="R19" s="268">
        <v>754</v>
      </c>
      <c r="S19" s="268">
        <v>925</v>
      </c>
      <c r="T19" s="153">
        <v>1016</v>
      </c>
      <c r="U19" s="268">
        <v>1081</v>
      </c>
      <c r="V19" s="268">
        <v>1156</v>
      </c>
      <c r="W19" s="268">
        <v>1199</v>
      </c>
      <c r="X19" s="268">
        <v>1244</v>
      </c>
      <c r="Y19" s="268">
        <v>1244</v>
      </c>
      <c r="Z19" s="268">
        <v>1254</v>
      </c>
      <c r="AA19" s="867">
        <v>1254</v>
      </c>
      <c r="AB19" s="269" t="s">
        <v>148</v>
      </c>
    </row>
    <row r="20" spans="1:28" ht="12.75" customHeight="1">
      <c r="A20" s="114"/>
      <c r="B20" s="294" t="s">
        <v>69</v>
      </c>
      <c r="C20" s="503">
        <v>3913</v>
      </c>
      <c r="D20" s="504">
        <v>5900</v>
      </c>
      <c r="E20" s="504">
        <v>6193</v>
      </c>
      <c r="F20" s="504">
        <v>6301</v>
      </c>
      <c r="G20" s="504">
        <v>6289</v>
      </c>
      <c r="H20" s="504">
        <v>6401</v>
      </c>
      <c r="I20" s="504">
        <v>6375</v>
      </c>
      <c r="J20" s="504">
        <v>6435</v>
      </c>
      <c r="K20" s="504">
        <v>6465</v>
      </c>
      <c r="L20" s="504">
        <v>6469</v>
      </c>
      <c r="M20" s="504">
        <v>6478</v>
      </c>
      <c r="N20" s="504">
        <v>6478</v>
      </c>
      <c r="O20" s="504">
        <v>6478</v>
      </c>
      <c r="P20" s="504">
        <v>6487</v>
      </c>
      <c r="Q20" s="504">
        <v>6487</v>
      </c>
      <c r="R20" s="504">
        <v>6487</v>
      </c>
      <c r="S20" s="504">
        <v>6532</v>
      </c>
      <c r="T20" s="295">
        <v>6542</v>
      </c>
      <c r="U20" s="504">
        <v>6554</v>
      </c>
      <c r="V20" s="504">
        <v>6588</v>
      </c>
      <c r="W20" s="504">
        <v>6629</v>
      </c>
      <c r="X20" s="504">
        <v>6661</v>
      </c>
      <c r="Y20" s="504">
        <v>6668</v>
      </c>
      <c r="Z20" s="504">
        <v>6668</v>
      </c>
      <c r="AA20" s="868">
        <v>6726</v>
      </c>
      <c r="AB20" s="505" t="s">
        <v>69</v>
      </c>
    </row>
    <row r="21" spans="1:28" ht="12.75" customHeight="1">
      <c r="A21" s="114"/>
      <c r="B21" s="102" t="s">
        <v>71</v>
      </c>
      <c r="C21" s="267"/>
      <c r="D21" s="268"/>
      <c r="E21" s="268">
        <v>120</v>
      </c>
      <c r="F21" s="863">
        <v>120</v>
      </c>
      <c r="G21" s="863">
        <v>120</v>
      </c>
      <c r="H21" s="268">
        <v>154</v>
      </c>
      <c r="I21" s="268">
        <v>159</v>
      </c>
      <c r="J21" s="268">
        <v>167</v>
      </c>
      <c r="K21" s="268">
        <v>167</v>
      </c>
      <c r="L21" s="268">
        <v>194</v>
      </c>
      <c r="M21" s="268">
        <v>204</v>
      </c>
      <c r="N21" s="268">
        <v>216</v>
      </c>
      <c r="O21" s="268">
        <v>257</v>
      </c>
      <c r="P21" s="268">
        <v>257</v>
      </c>
      <c r="Q21" s="268">
        <v>268</v>
      </c>
      <c r="R21" s="268">
        <v>268</v>
      </c>
      <c r="S21" s="268">
        <v>268</v>
      </c>
      <c r="T21" s="869">
        <v>276</v>
      </c>
      <c r="U21" s="268">
        <v>257</v>
      </c>
      <c r="V21" s="268">
        <v>257</v>
      </c>
      <c r="W21" s="268">
        <v>257</v>
      </c>
      <c r="X21" s="268">
        <v>257</v>
      </c>
      <c r="Y21" s="268">
        <v>257</v>
      </c>
      <c r="Z21" s="268">
        <v>257</v>
      </c>
      <c r="AA21" s="867">
        <v>257</v>
      </c>
      <c r="AB21" s="269" t="s">
        <v>71</v>
      </c>
    </row>
    <row r="22" spans="1:28" ht="12.75" customHeight="1">
      <c r="A22" s="114"/>
      <c r="B22" s="294" t="s">
        <v>72</v>
      </c>
      <c r="C22" s="503" t="s">
        <v>146</v>
      </c>
      <c r="D22" s="504" t="s">
        <v>146</v>
      </c>
      <c r="E22" s="504" t="s">
        <v>146</v>
      </c>
      <c r="F22" s="504" t="s">
        <v>146</v>
      </c>
      <c r="G22" s="504" t="s">
        <v>146</v>
      </c>
      <c r="H22" s="504" t="s">
        <v>146</v>
      </c>
      <c r="I22" s="504" t="s">
        <v>146</v>
      </c>
      <c r="J22" s="504" t="s">
        <v>146</v>
      </c>
      <c r="K22" s="504" t="s">
        <v>146</v>
      </c>
      <c r="L22" s="504" t="s">
        <v>146</v>
      </c>
      <c r="M22" s="504" t="s">
        <v>146</v>
      </c>
      <c r="N22" s="504" t="s">
        <v>146</v>
      </c>
      <c r="O22" s="504" t="s">
        <v>197</v>
      </c>
      <c r="P22" s="504" t="s">
        <v>146</v>
      </c>
      <c r="Q22" s="504" t="s">
        <v>146</v>
      </c>
      <c r="R22" s="504" t="s">
        <v>146</v>
      </c>
      <c r="S22" s="504" t="s">
        <v>146</v>
      </c>
      <c r="T22" s="295" t="s">
        <v>146</v>
      </c>
      <c r="U22" s="504" t="s">
        <v>146</v>
      </c>
      <c r="V22" s="504" t="s">
        <v>146</v>
      </c>
      <c r="W22" s="504" t="s">
        <v>146</v>
      </c>
      <c r="X22" s="504" t="s">
        <v>146</v>
      </c>
      <c r="Y22" s="504" t="s">
        <v>146</v>
      </c>
      <c r="Z22" s="504" t="s">
        <v>146</v>
      </c>
      <c r="AA22" s="868" t="s">
        <v>146</v>
      </c>
      <c r="AB22" s="505" t="s">
        <v>72</v>
      </c>
    </row>
    <row r="23" spans="1:28" ht="12.75" customHeight="1">
      <c r="A23" s="114"/>
      <c r="B23" s="102" t="s">
        <v>73</v>
      </c>
      <c r="C23" s="267"/>
      <c r="D23" s="268"/>
      <c r="E23" s="268">
        <v>421</v>
      </c>
      <c r="F23" s="268">
        <v>376</v>
      </c>
      <c r="G23" s="268">
        <v>382</v>
      </c>
      <c r="H23" s="268">
        <v>394</v>
      </c>
      <c r="I23" s="268">
        <v>394</v>
      </c>
      <c r="J23" s="268">
        <v>394</v>
      </c>
      <c r="K23" s="268">
        <v>404</v>
      </c>
      <c r="L23" s="268">
        <v>410</v>
      </c>
      <c r="M23" s="268">
        <v>417</v>
      </c>
      <c r="N23" s="268">
        <v>417</v>
      </c>
      <c r="O23" s="268">
        <v>417</v>
      </c>
      <c r="P23" s="268">
        <v>417</v>
      </c>
      <c r="Q23" s="268">
        <v>417</v>
      </c>
      <c r="R23" s="268">
        <v>417</v>
      </c>
      <c r="S23" s="268">
        <v>417</v>
      </c>
      <c r="T23" s="869">
        <v>417</v>
      </c>
      <c r="U23" s="268">
        <v>309</v>
      </c>
      <c r="V23" s="268">
        <v>309</v>
      </c>
      <c r="W23" s="268">
        <v>309</v>
      </c>
      <c r="X23" s="268">
        <v>309</v>
      </c>
      <c r="Y23" s="268">
        <v>309</v>
      </c>
      <c r="Z23" s="268">
        <v>309</v>
      </c>
      <c r="AA23" s="867">
        <v>309</v>
      </c>
      <c r="AB23" s="269" t="s">
        <v>73</v>
      </c>
    </row>
    <row r="24" spans="1:28" ht="12.75" customHeight="1">
      <c r="A24" s="114"/>
      <c r="B24" s="133" t="s">
        <v>76</v>
      </c>
      <c r="C24" s="270">
        <v>7</v>
      </c>
      <c r="D24" s="271">
        <v>44</v>
      </c>
      <c r="E24" s="271">
        <v>78</v>
      </c>
      <c r="F24" s="865">
        <v>78</v>
      </c>
      <c r="G24" s="865">
        <v>95</v>
      </c>
      <c r="H24" s="271">
        <v>100</v>
      </c>
      <c r="I24" s="271">
        <v>121</v>
      </c>
      <c r="J24" s="271">
        <v>123</v>
      </c>
      <c r="K24" s="271">
        <v>115</v>
      </c>
      <c r="L24" s="271">
        <v>118</v>
      </c>
      <c r="M24" s="271">
        <v>115</v>
      </c>
      <c r="N24" s="271">
        <v>115</v>
      </c>
      <c r="O24" s="271">
        <v>114</v>
      </c>
      <c r="P24" s="271">
        <v>126</v>
      </c>
      <c r="Q24" s="271">
        <v>147</v>
      </c>
      <c r="R24" s="271">
        <v>147</v>
      </c>
      <c r="S24" s="271">
        <v>147</v>
      </c>
      <c r="T24" s="145">
        <v>147</v>
      </c>
      <c r="U24" s="271">
        <v>147</v>
      </c>
      <c r="V24" s="271">
        <v>147</v>
      </c>
      <c r="W24" s="271">
        <v>147</v>
      </c>
      <c r="X24" s="271">
        <v>152</v>
      </c>
      <c r="Y24" s="271">
        <v>152</v>
      </c>
      <c r="Z24" s="271">
        <v>152</v>
      </c>
      <c r="AA24" s="866">
        <v>152</v>
      </c>
      <c r="AB24" s="233" t="s">
        <v>76</v>
      </c>
    </row>
    <row r="25" spans="1:28" ht="12.75" customHeight="1">
      <c r="A25" s="114"/>
      <c r="B25" s="102" t="s">
        <v>77</v>
      </c>
      <c r="C25" s="272"/>
      <c r="D25" s="273"/>
      <c r="E25" s="268">
        <v>267</v>
      </c>
      <c r="F25" s="268">
        <v>269</v>
      </c>
      <c r="G25" s="268">
        <v>269</v>
      </c>
      <c r="H25" s="268">
        <v>269</v>
      </c>
      <c r="I25" s="268">
        <v>293</v>
      </c>
      <c r="J25" s="268">
        <v>335</v>
      </c>
      <c r="K25" s="268">
        <v>365</v>
      </c>
      <c r="L25" s="268">
        <v>382</v>
      </c>
      <c r="M25" s="268">
        <v>448</v>
      </c>
      <c r="N25" s="268">
        <v>448</v>
      </c>
      <c r="O25" s="268">
        <v>448</v>
      </c>
      <c r="P25" s="268">
        <v>448</v>
      </c>
      <c r="Q25" s="268">
        <v>542</v>
      </c>
      <c r="R25" s="268">
        <v>533</v>
      </c>
      <c r="S25" s="268">
        <v>761</v>
      </c>
      <c r="T25" s="153">
        <v>859</v>
      </c>
      <c r="U25" s="268">
        <v>1157</v>
      </c>
      <c r="V25" s="268">
        <v>1065</v>
      </c>
      <c r="W25" s="268">
        <v>1274</v>
      </c>
      <c r="X25" s="268">
        <v>1273</v>
      </c>
      <c r="Y25" s="268">
        <v>1477</v>
      </c>
      <c r="Z25" s="268">
        <v>1516</v>
      </c>
      <c r="AA25" s="867">
        <v>1515.1</v>
      </c>
      <c r="AB25" s="269" t="s">
        <v>77</v>
      </c>
    </row>
    <row r="26" spans="1:28" ht="12.75" customHeight="1">
      <c r="A26" s="114"/>
      <c r="B26" s="133" t="s">
        <v>78</v>
      </c>
      <c r="C26" s="270" t="s">
        <v>146</v>
      </c>
      <c r="D26" s="271" t="s">
        <v>146</v>
      </c>
      <c r="E26" s="271" t="s">
        <v>146</v>
      </c>
      <c r="F26" s="271" t="s">
        <v>146</v>
      </c>
      <c r="G26" s="271" t="s">
        <v>146</v>
      </c>
      <c r="H26" s="271" t="s">
        <v>146</v>
      </c>
      <c r="I26" s="271" t="s">
        <v>146</v>
      </c>
      <c r="J26" s="271" t="s">
        <v>146</v>
      </c>
      <c r="K26" s="271" t="s">
        <v>146</v>
      </c>
      <c r="L26" s="271" t="s">
        <v>146</v>
      </c>
      <c r="M26" s="271" t="s">
        <v>146</v>
      </c>
      <c r="N26" s="271" t="s">
        <v>146</v>
      </c>
      <c r="O26" s="271" t="s">
        <v>197</v>
      </c>
      <c r="P26" s="271" t="s">
        <v>146</v>
      </c>
      <c r="Q26" s="271" t="s">
        <v>146</v>
      </c>
      <c r="R26" s="271" t="s">
        <v>146</v>
      </c>
      <c r="S26" s="271" t="s">
        <v>146</v>
      </c>
      <c r="T26" s="145" t="s">
        <v>146</v>
      </c>
      <c r="U26" s="271" t="s">
        <v>146</v>
      </c>
      <c r="V26" s="271" t="s">
        <v>146</v>
      </c>
      <c r="W26" s="271" t="s">
        <v>146</v>
      </c>
      <c r="X26" s="271" t="s">
        <v>146</v>
      </c>
      <c r="Y26" s="271" t="s">
        <v>146</v>
      </c>
      <c r="Z26" s="271" t="s">
        <v>146</v>
      </c>
      <c r="AA26" s="866" t="s">
        <v>146</v>
      </c>
      <c r="AB26" s="233" t="s">
        <v>78</v>
      </c>
    </row>
    <row r="27" spans="1:28" ht="12.75" customHeight="1">
      <c r="A27" s="114"/>
      <c r="B27" s="102" t="s">
        <v>16</v>
      </c>
      <c r="C27" s="267">
        <v>1209</v>
      </c>
      <c r="D27" s="268">
        <v>1798</v>
      </c>
      <c r="E27" s="268">
        <v>2092</v>
      </c>
      <c r="F27" s="268">
        <v>2092</v>
      </c>
      <c r="G27" s="268">
        <v>2134</v>
      </c>
      <c r="H27" s="268">
        <v>2167</v>
      </c>
      <c r="I27" s="268">
        <v>2208</v>
      </c>
      <c r="J27" s="268">
        <v>2208</v>
      </c>
      <c r="K27" s="268">
        <v>2208</v>
      </c>
      <c r="L27" s="268">
        <v>2225</v>
      </c>
      <c r="M27" s="268">
        <v>2225</v>
      </c>
      <c r="N27" s="268">
        <v>2291</v>
      </c>
      <c r="O27" s="268">
        <v>2265</v>
      </c>
      <c r="P27" s="268">
        <v>2499</v>
      </c>
      <c r="Q27" s="268">
        <v>2516</v>
      </c>
      <c r="R27" s="268">
        <v>2541</v>
      </c>
      <c r="S27" s="268">
        <v>2585</v>
      </c>
      <c r="T27" s="153">
        <v>2600</v>
      </c>
      <c r="U27" s="268">
        <v>2604</v>
      </c>
      <c r="V27" s="268">
        <v>2582</v>
      </c>
      <c r="W27" s="268">
        <v>2637</v>
      </c>
      <c r="X27" s="268">
        <v>2646</v>
      </c>
      <c r="Y27" s="268">
        <v>2651</v>
      </c>
      <c r="Z27" s="268">
        <v>2658</v>
      </c>
      <c r="AA27" s="867">
        <v>2666</v>
      </c>
      <c r="AB27" s="269" t="s">
        <v>16</v>
      </c>
    </row>
    <row r="28" spans="1:28" ht="12.75" customHeight="1">
      <c r="A28" s="114"/>
      <c r="B28" s="133" t="s">
        <v>81</v>
      </c>
      <c r="C28" s="270">
        <v>478</v>
      </c>
      <c r="D28" s="271">
        <v>938</v>
      </c>
      <c r="E28" s="271">
        <v>1445</v>
      </c>
      <c r="F28" s="271">
        <v>1450</v>
      </c>
      <c r="G28" s="271">
        <v>1554</v>
      </c>
      <c r="H28" s="271">
        <v>1557</v>
      </c>
      <c r="I28" s="271">
        <v>1559</v>
      </c>
      <c r="J28" s="271">
        <v>1596</v>
      </c>
      <c r="K28" s="271">
        <v>1607</v>
      </c>
      <c r="L28" s="271">
        <v>1613</v>
      </c>
      <c r="M28" s="271">
        <v>1613</v>
      </c>
      <c r="N28" s="271">
        <v>1634</v>
      </c>
      <c r="O28" s="271">
        <v>1633</v>
      </c>
      <c r="P28" s="271">
        <v>1645</v>
      </c>
      <c r="Q28" s="271">
        <v>1645</v>
      </c>
      <c r="R28" s="271">
        <v>1670</v>
      </c>
      <c r="S28" s="271">
        <v>1677</v>
      </c>
      <c r="T28" s="145">
        <v>1677</v>
      </c>
      <c r="U28" s="271">
        <v>1678</v>
      </c>
      <c r="V28" s="271">
        <v>1696</v>
      </c>
      <c r="W28" s="271">
        <v>1696</v>
      </c>
      <c r="X28" s="271">
        <v>1696</v>
      </c>
      <c r="Y28" s="271">
        <v>1719</v>
      </c>
      <c r="Z28" s="271">
        <v>1719</v>
      </c>
      <c r="AA28" s="866">
        <v>1719</v>
      </c>
      <c r="AB28" s="233" t="s">
        <v>81</v>
      </c>
    </row>
    <row r="29" spans="1:28" ht="12.75" customHeight="1">
      <c r="A29" s="114"/>
      <c r="B29" s="102" t="s">
        <v>80</v>
      </c>
      <c r="C29" s="267"/>
      <c r="D29" s="268"/>
      <c r="E29" s="268">
        <v>257</v>
      </c>
      <c r="F29" s="268">
        <v>239</v>
      </c>
      <c r="G29" s="268">
        <v>257</v>
      </c>
      <c r="H29" s="268">
        <v>231</v>
      </c>
      <c r="I29" s="268">
        <v>245</v>
      </c>
      <c r="J29" s="268">
        <v>246</v>
      </c>
      <c r="K29" s="268">
        <v>258</v>
      </c>
      <c r="L29" s="268">
        <v>264</v>
      </c>
      <c r="M29" s="268">
        <v>268</v>
      </c>
      <c r="N29" s="268">
        <v>317</v>
      </c>
      <c r="O29" s="268">
        <v>358</v>
      </c>
      <c r="P29" s="268">
        <v>398</v>
      </c>
      <c r="Q29" s="268">
        <v>405</v>
      </c>
      <c r="R29" s="268">
        <v>484</v>
      </c>
      <c r="S29" s="268">
        <v>552</v>
      </c>
      <c r="T29" s="153">
        <v>552</v>
      </c>
      <c r="U29" s="268">
        <v>582.5</v>
      </c>
      <c r="V29" s="268">
        <v>662.5</v>
      </c>
      <c r="W29" s="268">
        <v>765</v>
      </c>
      <c r="X29" s="268">
        <v>849</v>
      </c>
      <c r="Y29" s="268">
        <v>857</v>
      </c>
      <c r="Z29" s="268">
        <v>1070</v>
      </c>
      <c r="AA29" s="867">
        <v>1365</v>
      </c>
      <c r="AB29" s="269" t="s">
        <v>80</v>
      </c>
    </row>
    <row r="30" spans="1:28" ht="12.75" customHeight="1">
      <c r="A30" s="114"/>
      <c r="B30" s="133" t="s">
        <v>92</v>
      </c>
      <c r="C30" s="270">
        <v>66</v>
      </c>
      <c r="D30" s="271">
        <v>132</v>
      </c>
      <c r="E30" s="271">
        <v>316</v>
      </c>
      <c r="F30" s="271">
        <v>474</v>
      </c>
      <c r="G30" s="271">
        <v>520</v>
      </c>
      <c r="H30" s="271">
        <v>579</v>
      </c>
      <c r="I30" s="271">
        <v>587</v>
      </c>
      <c r="J30" s="865">
        <v>687</v>
      </c>
      <c r="K30" s="865">
        <v>710</v>
      </c>
      <c r="L30" s="865">
        <v>797</v>
      </c>
      <c r="M30" s="865">
        <v>1252</v>
      </c>
      <c r="N30" s="865">
        <v>1441</v>
      </c>
      <c r="O30" s="865">
        <v>1482</v>
      </c>
      <c r="P30" s="865">
        <v>1659</v>
      </c>
      <c r="Q30" s="865">
        <v>1836</v>
      </c>
      <c r="R30" s="865">
        <v>2002</v>
      </c>
      <c r="S30" s="865">
        <v>2091</v>
      </c>
      <c r="T30" s="870">
        <v>2341</v>
      </c>
      <c r="U30" s="865">
        <v>2545</v>
      </c>
      <c r="V30" s="865">
        <v>2613</v>
      </c>
      <c r="W30" s="865">
        <v>2623</v>
      </c>
      <c r="X30" s="271">
        <v>2705</v>
      </c>
      <c r="Y30" s="271">
        <v>2737</v>
      </c>
      <c r="Z30" s="271">
        <v>2737</v>
      </c>
      <c r="AA30" s="866">
        <v>2988</v>
      </c>
      <c r="AB30" s="233" t="s">
        <v>92</v>
      </c>
    </row>
    <row r="31" spans="1:28" ht="12.75" customHeight="1">
      <c r="A31" s="114"/>
      <c r="B31" s="102" t="s">
        <v>102</v>
      </c>
      <c r="C31" s="267"/>
      <c r="D31" s="268"/>
      <c r="E31" s="268">
        <v>113</v>
      </c>
      <c r="F31" s="268">
        <v>113</v>
      </c>
      <c r="G31" s="268">
        <v>113</v>
      </c>
      <c r="H31" s="268">
        <v>113</v>
      </c>
      <c r="I31" s="268">
        <v>113</v>
      </c>
      <c r="J31" s="268">
        <v>113</v>
      </c>
      <c r="K31" s="268">
        <v>113</v>
      </c>
      <c r="L31" s="268">
        <v>113</v>
      </c>
      <c r="M31" s="268">
        <v>113</v>
      </c>
      <c r="N31" s="268">
        <v>113</v>
      </c>
      <c r="O31" s="268">
        <v>113</v>
      </c>
      <c r="P31" s="268">
        <v>113</v>
      </c>
      <c r="Q31" s="268">
        <v>113</v>
      </c>
      <c r="R31" s="268">
        <v>113</v>
      </c>
      <c r="S31" s="268">
        <v>228</v>
      </c>
      <c r="T31" s="153">
        <v>228</v>
      </c>
      <c r="U31" s="268">
        <v>228</v>
      </c>
      <c r="V31" s="268">
        <v>281</v>
      </c>
      <c r="W31" s="268">
        <v>281</v>
      </c>
      <c r="X31" s="268">
        <v>321</v>
      </c>
      <c r="Y31" s="268">
        <v>332</v>
      </c>
      <c r="Z31" s="268">
        <v>350</v>
      </c>
      <c r="AA31" s="867">
        <v>550</v>
      </c>
      <c r="AB31" s="269" t="s">
        <v>102</v>
      </c>
    </row>
    <row r="32" spans="1:28" ht="12.75" customHeight="1">
      <c r="A32" s="114"/>
      <c r="B32" s="133" t="s">
        <v>83</v>
      </c>
      <c r="C32" s="270"/>
      <c r="D32" s="271"/>
      <c r="E32" s="271">
        <v>228</v>
      </c>
      <c r="F32" s="865">
        <v>246</v>
      </c>
      <c r="G32" s="865">
        <v>254</v>
      </c>
      <c r="H32" s="271">
        <v>268</v>
      </c>
      <c r="I32" s="271">
        <v>277</v>
      </c>
      <c r="J32" s="271">
        <v>293</v>
      </c>
      <c r="K32" s="271">
        <v>310</v>
      </c>
      <c r="L32" s="271">
        <v>330</v>
      </c>
      <c r="M32" s="271">
        <v>369</v>
      </c>
      <c r="N32" s="271">
        <v>399</v>
      </c>
      <c r="O32" s="271">
        <v>427</v>
      </c>
      <c r="P32" s="271">
        <v>435</v>
      </c>
      <c r="Q32" s="271">
        <v>457</v>
      </c>
      <c r="R32" s="271">
        <v>477</v>
      </c>
      <c r="S32" s="271">
        <v>483</v>
      </c>
      <c r="T32" s="145">
        <v>569</v>
      </c>
      <c r="U32" s="271">
        <v>579</v>
      </c>
      <c r="V32" s="271">
        <v>579</v>
      </c>
      <c r="W32" s="271">
        <v>696</v>
      </c>
      <c r="X32" s="271">
        <v>747</v>
      </c>
      <c r="Y32" s="271">
        <v>771</v>
      </c>
      <c r="Z32" s="271">
        <v>768</v>
      </c>
      <c r="AA32" s="866">
        <v>769</v>
      </c>
      <c r="AB32" s="233" t="s">
        <v>83</v>
      </c>
    </row>
    <row r="33" spans="1:28" ht="12.75" customHeight="1">
      <c r="A33" s="114"/>
      <c r="B33" s="102" t="s">
        <v>85</v>
      </c>
      <c r="C33" s="272"/>
      <c r="D33" s="273"/>
      <c r="E33" s="268">
        <v>192</v>
      </c>
      <c r="F33" s="268">
        <v>198</v>
      </c>
      <c r="G33" s="268">
        <v>198</v>
      </c>
      <c r="H33" s="268">
        <v>198</v>
      </c>
      <c r="I33" s="268">
        <v>198</v>
      </c>
      <c r="J33" s="268">
        <v>198</v>
      </c>
      <c r="K33" s="268">
        <v>215</v>
      </c>
      <c r="L33" s="268">
        <v>219</v>
      </c>
      <c r="M33" s="268">
        <v>292</v>
      </c>
      <c r="N33" s="268">
        <v>295</v>
      </c>
      <c r="O33" s="268">
        <v>296</v>
      </c>
      <c r="P33" s="268">
        <v>296</v>
      </c>
      <c r="Q33" s="268">
        <v>302</v>
      </c>
      <c r="R33" s="268">
        <v>313</v>
      </c>
      <c r="S33" s="268">
        <v>316</v>
      </c>
      <c r="T33" s="153">
        <v>328</v>
      </c>
      <c r="U33" s="268">
        <v>328</v>
      </c>
      <c r="V33" s="268">
        <v>365</v>
      </c>
      <c r="W33" s="268">
        <v>384</v>
      </c>
      <c r="X33" s="268">
        <v>391</v>
      </c>
      <c r="Y33" s="268">
        <v>415.7</v>
      </c>
      <c r="Z33" s="268">
        <v>419.2</v>
      </c>
      <c r="AA33" s="867">
        <v>419.2</v>
      </c>
      <c r="AB33" s="269" t="s">
        <v>85</v>
      </c>
    </row>
    <row r="34" spans="1:28" ht="12.75" customHeight="1">
      <c r="A34" s="114"/>
      <c r="B34" s="133" t="s">
        <v>87</v>
      </c>
      <c r="C34" s="270">
        <v>108</v>
      </c>
      <c r="D34" s="271">
        <v>204</v>
      </c>
      <c r="E34" s="271">
        <v>225</v>
      </c>
      <c r="F34" s="271">
        <v>249</v>
      </c>
      <c r="G34" s="271">
        <v>318</v>
      </c>
      <c r="H34" s="271">
        <v>337</v>
      </c>
      <c r="I34" s="271">
        <v>388</v>
      </c>
      <c r="J34" s="271">
        <v>394</v>
      </c>
      <c r="K34" s="271">
        <v>431</v>
      </c>
      <c r="L34" s="271">
        <v>444</v>
      </c>
      <c r="M34" s="271">
        <v>473</v>
      </c>
      <c r="N34" s="271">
        <v>512</v>
      </c>
      <c r="O34" s="271">
        <v>549</v>
      </c>
      <c r="P34" s="271">
        <v>591</v>
      </c>
      <c r="Q34" s="271">
        <v>603</v>
      </c>
      <c r="R34" s="271">
        <v>653</v>
      </c>
      <c r="S34" s="271">
        <v>653</v>
      </c>
      <c r="T34" s="145">
        <v>693</v>
      </c>
      <c r="U34" s="271">
        <v>700</v>
      </c>
      <c r="V34" s="271">
        <v>700</v>
      </c>
      <c r="W34" s="271">
        <v>739</v>
      </c>
      <c r="X34" s="271">
        <v>765</v>
      </c>
      <c r="Y34" s="271">
        <v>779</v>
      </c>
      <c r="Z34" s="271">
        <v>779</v>
      </c>
      <c r="AA34" s="866">
        <v>810</v>
      </c>
      <c r="AB34" s="233" t="s">
        <v>87</v>
      </c>
    </row>
    <row r="35" spans="1:28" ht="12.75" customHeight="1">
      <c r="A35" s="114"/>
      <c r="B35" s="102" t="s">
        <v>88</v>
      </c>
      <c r="C35" s="267">
        <v>403</v>
      </c>
      <c r="D35" s="268">
        <v>850</v>
      </c>
      <c r="E35" s="268">
        <v>939</v>
      </c>
      <c r="F35" s="268">
        <v>968</v>
      </c>
      <c r="G35" s="268">
        <v>1005</v>
      </c>
      <c r="H35" s="268">
        <v>1061</v>
      </c>
      <c r="I35" s="268">
        <v>1125</v>
      </c>
      <c r="J35" s="268">
        <v>1262</v>
      </c>
      <c r="K35" s="268">
        <v>1350</v>
      </c>
      <c r="L35" s="268">
        <v>1423</v>
      </c>
      <c r="M35" s="268">
        <v>1439</v>
      </c>
      <c r="N35" s="268">
        <v>1484</v>
      </c>
      <c r="O35" s="268">
        <v>1499</v>
      </c>
      <c r="P35" s="268">
        <v>1507</v>
      </c>
      <c r="Q35" s="268">
        <v>1544</v>
      </c>
      <c r="R35" s="268">
        <v>1591</v>
      </c>
      <c r="S35" s="268">
        <v>1700</v>
      </c>
      <c r="T35" s="153">
        <v>1700</v>
      </c>
      <c r="U35" s="268">
        <v>1740</v>
      </c>
      <c r="V35" s="268">
        <v>1806</v>
      </c>
      <c r="W35" s="268">
        <v>1855</v>
      </c>
      <c r="X35" s="268">
        <v>1891</v>
      </c>
      <c r="Y35" s="268">
        <v>1927</v>
      </c>
      <c r="Z35" s="268">
        <v>1920</v>
      </c>
      <c r="AA35" s="867">
        <v>2013</v>
      </c>
      <c r="AB35" s="269" t="s">
        <v>88</v>
      </c>
    </row>
    <row r="36" spans="1:28" ht="12.75" customHeight="1">
      <c r="A36" s="114"/>
      <c r="B36" s="477" t="s">
        <v>13</v>
      </c>
      <c r="C36" s="506">
        <v>1183</v>
      </c>
      <c r="D36" s="507">
        <v>2683</v>
      </c>
      <c r="E36" s="507">
        <v>3211.6</v>
      </c>
      <c r="F36" s="507">
        <v>3243</v>
      </c>
      <c r="G36" s="507">
        <v>3321</v>
      </c>
      <c r="H36" s="507">
        <v>3352</v>
      </c>
      <c r="I36" s="507">
        <v>3379</v>
      </c>
      <c r="J36" s="507">
        <v>3408</v>
      </c>
      <c r="K36" s="507">
        <v>3488</v>
      </c>
      <c r="L36" s="507">
        <v>3531</v>
      </c>
      <c r="M36" s="507">
        <v>3559</v>
      </c>
      <c r="N36" s="507">
        <v>3577</v>
      </c>
      <c r="O36" s="507">
        <v>3586</v>
      </c>
      <c r="P36" s="507">
        <v>3588</v>
      </c>
      <c r="Q36" s="507">
        <v>3588</v>
      </c>
      <c r="R36" s="507">
        <v>3633</v>
      </c>
      <c r="S36" s="507">
        <v>3628.49</v>
      </c>
      <c r="T36" s="507">
        <v>3665.44</v>
      </c>
      <c r="U36" s="507">
        <v>3669.44</v>
      </c>
      <c r="V36" s="507">
        <v>3672.7999999999997</v>
      </c>
      <c r="W36" s="507">
        <v>3673.8999999999996</v>
      </c>
      <c r="X36" s="507">
        <v>3671.7999999999997</v>
      </c>
      <c r="Y36" s="507">
        <v>3685.6</v>
      </c>
      <c r="Z36" s="507">
        <v>3732.52</v>
      </c>
      <c r="AA36" s="871">
        <v>3756.02</v>
      </c>
      <c r="AB36" s="508" t="s">
        <v>13</v>
      </c>
    </row>
    <row r="37" spans="1:28" ht="12.75" customHeight="1">
      <c r="A37" s="114"/>
      <c r="B37" s="102" t="s">
        <v>310</v>
      </c>
      <c r="C37" s="267"/>
      <c r="D37" s="268"/>
      <c r="E37" s="268"/>
      <c r="F37" s="268"/>
      <c r="G37" s="268"/>
      <c r="H37" s="268"/>
      <c r="I37" s="268"/>
      <c r="J37" s="268"/>
      <c r="K37" s="268"/>
      <c r="L37" s="268"/>
      <c r="M37" s="268"/>
      <c r="N37" s="268"/>
      <c r="O37" s="268"/>
      <c r="P37" s="862"/>
      <c r="Q37" s="268"/>
      <c r="R37" s="268"/>
      <c r="S37" s="268"/>
      <c r="T37" s="153"/>
      <c r="U37" s="268"/>
      <c r="V37" s="268"/>
      <c r="W37" s="268"/>
      <c r="X37" s="268"/>
      <c r="Y37" s="268"/>
      <c r="Z37" s="268"/>
      <c r="AA37" s="864"/>
      <c r="AB37" s="269" t="s">
        <v>310</v>
      </c>
    </row>
    <row r="38" spans="1:28" ht="12.75" customHeight="1">
      <c r="A38" s="114"/>
      <c r="B38" s="294" t="s">
        <v>244</v>
      </c>
      <c r="C38" s="503"/>
      <c r="D38" s="504"/>
      <c r="E38" s="504" t="s">
        <v>146</v>
      </c>
      <c r="F38" s="504" t="s">
        <v>146</v>
      </c>
      <c r="G38" s="504" t="s">
        <v>146</v>
      </c>
      <c r="H38" s="504" t="s">
        <v>146</v>
      </c>
      <c r="I38" s="504" t="s">
        <v>146</v>
      </c>
      <c r="J38" s="504" t="s">
        <v>146</v>
      </c>
      <c r="K38" s="504" t="s">
        <v>146</v>
      </c>
      <c r="L38" s="504" t="s">
        <v>146</v>
      </c>
      <c r="M38" s="504" t="s">
        <v>146</v>
      </c>
      <c r="N38" s="504" t="s">
        <v>146</v>
      </c>
      <c r="O38" s="504" t="s">
        <v>146</v>
      </c>
      <c r="P38" s="504" t="s">
        <v>146</v>
      </c>
      <c r="Q38" s="504" t="s">
        <v>146</v>
      </c>
      <c r="R38" s="504" t="s">
        <v>146</v>
      </c>
      <c r="S38" s="504" t="s">
        <v>146</v>
      </c>
      <c r="T38" s="295" t="s">
        <v>146</v>
      </c>
      <c r="U38" s="504" t="s">
        <v>146</v>
      </c>
      <c r="V38" s="504" t="s">
        <v>146</v>
      </c>
      <c r="W38" s="504" t="s">
        <v>146</v>
      </c>
      <c r="X38" s="504" t="s">
        <v>146</v>
      </c>
      <c r="Y38" s="504" t="s">
        <v>146</v>
      </c>
      <c r="Z38" s="504" t="s">
        <v>146</v>
      </c>
      <c r="AA38" s="868" t="s">
        <v>146</v>
      </c>
      <c r="AB38" s="505" t="s">
        <v>244</v>
      </c>
    </row>
    <row r="39" spans="1:28" ht="12.75" customHeight="1">
      <c r="A39" s="114"/>
      <c r="B39" s="102" t="s">
        <v>149</v>
      </c>
      <c r="C39" s="267"/>
      <c r="D39" s="268"/>
      <c r="E39" s="268">
        <v>83</v>
      </c>
      <c r="F39" s="268"/>
      <c r="G39" s="268"/>
      <c r="H39" s="268"/>
      <c r="I39" s="268"/>
      <c r="J39" s="268"/>
      <c r="K39" s="268"/>
      <c r="L39" s="268"/>
      <c r="M39" s="268"/>
      <c r="N39" s="268"/>
      <c r="O39" s="268"/>
      <c r="P39" s="268">
        <v>145</v>
      </c>
      <c r="Q39" s="268">
        <v>208</v>
      </c>
      <c r="R39" s="268">
        <v>208</v>
      </c>
      <c r="S39" s="268">
        <v>208</v>
      </c>
      <c r="T39" s="153">
        <v>216</v>
      </c>
      <c r="U39" s="268">
        <v>216</v>
      </c>
      <c r="V39" s="268">
        <v>221</v>
      </c>
      <c r="W39" s="268">
        <v>237</v>
      </c>
      <c r="X39" s="268">
        <v>251</v>
      </c>
      <c r="Y39" s="268">
        <v>251</v>
      </c>
      <c r="Z39" s="268">
        <v>259</v>
      </c>
      <c r="AA39" s="867">
        <v>259</v>
      </c>
      <c r="AB39" s="269" t="s">
        <v>149</v>
      </c>
    </row>
    <row r="40" spans="1:28" ht="12.75" customHeight="1">
      <c r="A40" s="114"/>
      <c r="B40" s="294" t="s">
        <v>245</v>
      </c>
      <c r="C40" s="503"/>
      <c r="D40" s="504"/>
      <c r="E40" s="504"/>
      <c r="F40" s="504"/>
      <c r="G40" s="504"/>
      <c r="H40" s="504"/>
      <c r="I40" s="504"/>
      <c r="J40" s="504"/>
      <c r="K40" s="504"/>
      <c r="L40" s="504"/>
      <c r="M40" s="504"/>
      <c r="N40" s="504"/>
      <c r="O40" s="504"/>
      <c r="P40" s="504"/>
      <c r="Q40" s="504"/>
      <c r="R40" s="504">
        <v>603</v>
      </c>
      <c r="S40" s="504">
        <v>603</v>
      </c>
      <c r="T40" s="504">
        <v>603</v>
      </c>
      <c r="U40" s="504">
        <v>603</v>
      </c>
      <c r="V40" s="504">
        <v>603</v>
      </c>
      <c r="W40" s="504">
        <v>603</v>
      </c>
      <c r="X40" s="504">
        <v>603</v>
      </c>
      <c r="Y40" s="504">
        <v>603</v>
      </c>
      <c r="Z40" s="504">
        <v>603</v>
      </c>
      <c r="AA40" s="504">
        <v>603</v>
      </c>
      <c r="AB40" s="294" t="s">
        <v>245</v>
      </c>
    </row>
    <row r="41" spans="1:28" ht="12.75" customHeight="1">
      <c r="A41" s="114"/>
      <c r="B41" s="103" t="s">
        <v>150</v>
      </c>
      <c r="C41" s="274"/>
      <c r="D41" s="275"/>
      <c r="E41" s="275">
        <v>281</v>
      </c>
      <c r="F41" s="275">
        <v>387</v>
      </c>
      <c r="G41" s="275">
        <v>757</v>
      </c>
      <c r="H41" s="275"/>
      <c r="I41" s="275"/>
      <c r="J41" s="275"/>
      <c r="K41" s="275"/>
      <c r="L41" s="275"/>
      <c r="M41" s="275"/>
      <c r="N41" s="275"/>
      <c r="O41" s="275"/>
      <c r="P41" s="275">
        <v>1851</v>
      </c>
      <c r="Q41" s="275">
        <v>1851</v>
      </c>
      <c r="R41" s="275">
        <v>1882</v>
      </c>
      <c r="S41" s="275">
        <v>1741</v>
      </c>
      <c r="T41" s="154">
        <v>1667</v>
      </c>
      <c r="U41" s="275">
        <v>1908</v>
      </c>
      <c r="V41" s="275">
        <v>1908</v>
      </c>
      <c r="W41" s="275">
        <v>1922</v>
      </c>
      <c r="X41" s="275">
        <v>2036</v>
      </c>
      <c r="Y41" s="275">
        <v>2080</v>
      </c>
      <c r="Z41" s="275">
        <v>2119</v>
      </c>
      <c r="AA41" s="872">
        <v>2127</v>
      </c>
      <c r="AB41" s="276" t="s">
        <v>150</v>
      </c>
    </row>
    <row r="42" spans="1:28" ht="12.75" customHeight="1">
      <c r="A42" s="114"/>
      <c r="B42" s="522" t="s">
        <v>151</v>
      </c>
      <c r="C42" s="873" t="s">
        <v>146</v>
      </c>
      <c r="D42" s="874" t="s">
        <v>146</v>
      </c>
      <c r="E42" s="504" t="s">
        <v>146</v>
      </c>
      <c r="F42" s="504" t="s">
        <v>146</v>
      </c>
      <c r="G42" s="504" t="s">
        <v>146</v>
      </c>
      <c r="H42" s="504" t="s">
        <v>146</v>
      </c>
      <c r="I42" s="504" t="s">
        <v>146</v>
      </c>
      <c r="J42" s="504" t="s">
        <v>146</v>
      </c>
      <c r="K42" s="504" t="s">
        <v>146</v>
      </c>
      <c r="L42" s="504" t="s">
        <v>146</v>
      </c>
      <c r="M42" s="504" t="s">
        <v>146</v>
      </c>
      <c r="N42" s="504" t="s">
        <v>146</v>
      </c>
      <c r="O42" s="504" t="s">
        <v>197</v>
      </c>
      <c r="P42" s="504" t="s">
        <v>146</v>
      </c>
      <c r="Q42" s="504" t="s">
        <v>146</v>
      </c>
      <c r="R42" s="504" t="s">
        <v>146</v>
      </c>
      <c r="S42" s="504" t="s">
        <v>146</v>
      </c>
      <c r="T42" s="295">
        <v>11</v>
      </c>
      <c r="U42" s="504">
        <v>11</v>
      </c>
      <c r="V42" s="504">
        <v>11</v>
      </c>
      <c r="W42" s="504">
        <v>11</v>
      </c>
      <c r="X42" s="504">
        <v>11</v>
      </c>
      <c r="Y42" s="504">
        <v>11</v>
      </c>
      <c r="Z42" s="875">
        <v>11</v>
      </c>
      <c r="AA42" s="876">
        <v>11</v>
      </c>
      <c r="AB42" s="546" t="s">
        <v>151</v>
      </c>
    </row>
    <row r="43" spans="1:28" ht="12.75" customHeight="1">
      <c r="A43" s="114"/>
      <c r="B43" s="102" t="s">
        <v>152</v>
      </c>
      <c r="C43" s="267">
        <v>41</v>
      </c>
      <c r="D43" s="268">
        <v>57</v>
      </c>
      <c r="E43" s="268">
        <v>73</v>
      </c>
      <c r="F43" s="268"/>
      <c r="G43" s="268"/>
      <c r="H43" s="268"/>
      <c r="I43" s="268">
        <v>94</v>
      </c>
      <c r="J43" s="268">
        <v>107</v>
      </c>
      <c r="K43" s="268">
        <v>103</v>
      </c>
      <c r="L43" s="268">
        <v>109</v>
      </c>
      <c r="M43" s="268">
        <v>128</v>
      </c>
      <c r="N43" s="268">
        <v>128</v>
      </c>
      <c r="O43" s="268">
        <v>144</v>
      </c>
      <c r="P43" s="268">
        <v>143</v>
      </c>
      <c r="Q43" s="268">
        <v>173</v>
      </c>
      <c r="R43" s="863">
        <v>194</v>
      </c>
      <c r="S43" s="268">
        <v>194</v>
      </c>
      <c r="T43" s="153">
        <v>264</v>
      </c>
      <c r="U43" s="268">
        <v>271</v>
      </c>
      <c r="V43" s="268">
        <v>239</v>
      </c>
      <c r="W43" s="268">
        <v>253</v>
      </c>
      <c r="X43" s="268">
        <v>344</v>
      </c>
      <c r="Y43" s="268">
        <v>381</v>
      </c>
      <c r="Z43" s="268">
        <v>393</v>
      </c>
      <c r="AA43" s="867">
        <v>392</v>
      </c>
      <c r="AB43" s="269" t="s">
        <v>152</v>
      </c>
    </row>
    <row r="44" spans="1:28" ht="12.75" customHeight="1">
      <c r="A44" s="114"/>
      <c r="B44" s="477" t="s">
        <v>153</v>
      </c>
      <c r="C44" s="506"/>
      <c r="D44" s="507"/>
      <c r="E44" s="507">
        <v>1148</v>
      </c>
      <c r="F44" s="507">
        <v>1152</v>
      </c>
      <c r="G44" s="507">
        <v>1164</v>
      </c>
      <c r="H44" s="507">
        <v>1184</v>
      </c>
      <c r="I44" s="507">
        <v>1184</v>
      </c>
      <c r="J44" s="507">
        <v>1197</v>
      </c>
      <c r="K44" s="507">
        <v>1244</v>
      </c>
      <c r="L44" s="507">
        <v>1244</v>
      </c>
      <c r="M44" s="507">
        <v>1262</v>
      </c>
      <c r="N44" s="507">
        <v>1267</v>
      </c>
      <c r="O44" s="507">
        <v>1270</v>
      </c>
      <c r="P44" s="507">
        <v>1305</v>
      </c>
      <c r="Q44" s="507">
        <v>1304</v>
      </c>
      <c r="R44" s="507">
        <v>1351</v>
      </c>
      <c r="S44" s="507">
        <v>1341</v>
      </c>
      <c r="T44" s="543">
        <v>1358</v>
      </c>
      <c r="U44" s="507">
        <v>1361</v>
      </c>
      <c r="V44" s="507">
        <v>1383</v>
      </c>
      <c r="W44" s="507">
        <v>1383</v>
      </c>
      <c r="X44" s="507">
        <v>1406</v>
      </c>
      <c r="Y44" s="507">
        <v>1406</v>
      </c>
      <c r="Z44" s="507">
        <v>1415</v>
      </c>
      <c r="AA44" s="871">
        <v>1419</v>
      </c>
      <c r="AB44" s="508" t="s">
        <v>153</v>
      </c>
    </row>
    <row r="45" spans="2:27" ht="44.25" customHeight="1">
      <c r="B45" s="1105" t="s">
        <v>330</v>
      </c>
      <c r="C45" s="1105"/>
      <c r="D45" s="1105"/>
      <c r="E45" s="1105"/>
      <c r="F45" s="1105"/>
      <c r="G45" s="1105"/>
      <c r="H45" s="1105"/>
      <c r="I45" s="1105"/>
      <c r="J45" s="1105"/>
      <c r="K45" s="1105"/>
      <c r="L45" s="1105"/>
      <c r="M45" s="1105"/>
      <c r="N45" s="1105"/>
      <c r="O45" s="1105"/>
      <c r="P45" s="1105"/>
      <c r="Q45" s="1105"/>
      <c r="R45" s="1105"/>
      <c r="S45" s="1105"/>
      <c r="T45" s="1105"/>
      <c r="U45" s="1105"/>
      <c r="V45" s="1105"/>
      <c r="W45" s="1105"/>
      <c r="X45" s="156"/>
      <c r="Y45" s="156"/>
      <c r="Z45" s="156"/>
      <c r="AA45" s="156"/>
    </row>
    <row r="46" spans="2:17" ht="12.75" customHeight="1">
      <c r="B46" s="118" t="s">
        <v>198</v>
      </c>
      <c r="C46"/>
      <c r="D46"/>
      <c r="E46"/>
      <c r="F46"/>
      <c r="G46"/>
      <c r="H46"/>
      <c r="I46"/>
      <c r="J46"/>
      <c r="K46"/>
      <c r="L46"/>
      <c r="M46"/>
      <c r="N46"/>
      <c r="O46"/>
      <c r="P46"/>
      <c r="Q46"/>
    </row>
    <row r="47" ht="12.75" customHeight="1">
      <c r="B47" s="222" t="s">
        <v>199</v>
      </c>
    </row>
    <row r="48" spans="2:38" ht="12.75" customHeight="1">
      <c r="B48" s="278" t="s">
        <v>200</v>
      </c>
      <c r="AC48" s="279"/>
      <c r="AD48" s="279"/>
      <c r="AE48" s="279"/>
      <c r="AF48" s="279"/>
      <c r="AG48" s="279"/>
      <c r="AH48" s="279"/>
      <c r="AI48" s="279"/>
      <c r="AJ48" s="279"/>
      <c r="AK48" s="279"/>
      <c r="AL48" s="279"/>
    </row>
    <row r="49" spans="2:22" ht="12.75" customHeight="1">
      <c r="B49" s="222" t="s">
        <v>201</v>
      </c>
      <c r="C49" s="279"/>
      <c r="D49" s="279"/>
      <c r="E49" s="279"/>
      <c r="F49" s="279"/>
      <c r="G49" s="279"/>
      <c r="H49" s="279"/>
      <c r="I49" s="279"/>
      <c r="J49" s="279"/>
      <c r="K49" s="279"/>
      <c r="L49" s="279"/>
      <c r="M49" s="279"/>
      <c r="N49" s="279"/>
      <c r="O49" s="279"/>
      <c r="P49" s="279"/>
      <c r="Q49" s="279"/>
      <c r="R49" s="279"/>
      <c r="S49" s="279"/>
      <c r="T49" s="279"/>
      <c r="U49" s="279"/>
      <c r="V49" s="279"/>
    </row>
    <row r="50" spans="2:22" ht="12.75" customHeight="1">
      <c r="B50" s="222" t="s">
        <v>331</v>
      </c>
      <c r="C50" s="279"/>
      <c r="D50" s="279"/>
      <c r="E50" s="279"/>
      <c r="F50" s="279"/>
      <c r="G50" s="279"/>
      <c r="H50" s="279"/>
      <c r="I50" s="279"/>
      <c r="J50" s="279"/>
      <c r="K50" s="279"/>
      <c r="L50" s="279"/>
      <c r="M50" s="279"/>
      <c r="N50" s="279"/>
      <c r="O50" s="279"/>
      <c r="P50" s="279"/>
      <c r="Q50" s="279"/>
      <c r="R50" s="279"/>
      <c r="S50" s="279"/>
      <c r="T50" s="279"/>
      <c r="U50" s="279"/>
      <c r="V50" s="279"/>
    </row>
    <row r="51" ht="8.25" customHeight="1"/>
  </sheetData>
  <sheetProtection/>
  <mergeCells count="4">
    <mergeCell ref="B45:W45"/>
    <mergeCell ref="B1:C1"/>
    <mergeCell ref="B2:AB2"/>
    <mergeCell ref="B3:AB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00"/>
  </sheetPr>
  <dimension ref="A1:G77"/>
  <sheetViews>
    <sheetView zoomScalePageLayoutView="0" workbookViewId="0" topLeftCell="A1">
      <selection activeCell="A1" sqref="A1"/>
    </sheetView>
  </sheetViews>
  <sheetFormatPr defaultColWidth="9.140625" defaultRowHeight="12.75"/>
  <cols>
    <col min="1" max="1" width="2.7109375" style="0" customWidth="1"/>
    <col min="2" max="2" width="4.28125" style="0" customWidth="1"/>
    <col min="3" max="6" width="10.7109375" style="0" customWidth="1"/>
    <col min="7" max="7" width="4.00390625" style="35" customWidth="1"/>
  </cols>
  <sheetData>
    <row r="1" spans="2:7" ht="15" customHeight="1">
      <c r="B1" s="1116"/>
      <c r="C1" s="1116"/>
      <c r="D1" s="292"/>
      <c r="E1" s="292"/>
      <c r="F1" s="1117" t="s">
        <v>202</v>
      </c>
      <c r="G1" s="1051"/>
    </row>
    <row r="2" spans="2:7" ht="30" customHeight="1">
      <c r="B2" s="1091" t="s">
        <v>203</v>
      </c>
      <c r="C2" s="1091"/>
      <c r="D2" s="1091"/>
      <c r="E2" s="1091"/>
      <c r="F2" s="1091"/>
      <c r="G2" s="1091"/>
    </row>
    <row r="3" spans="3:7" ht="15" customHeight="1">
      <c r="C3" s="1118" t="s">
        <v>332</v>
      </c>
      <c r="D3" s="1118"/>
      <c r="E3" s="1118"/>
      <c r="F3" s="1118"/>
      <c r="G3" s="254"/>
    </row>
    <row r="4" spans="2:7" ht="12.75" customHeight="1">
      <c r="B4" s="35"/>
      <c r="C4" s="1108" t="s">
        <v>20</v>
      </c>
      <c r="D4" s="1108" t="s">
        <v>204</v>
      </c>
      <c r="E4" s="1108" t="s">
        <v>205</v>
      </c>
      <c r="F4" s="1108" t="s">
        <v>206</v>
      </c>
      <c r="G4" s="164"/>
    </row>
    <row r="5" spans="2:7" ht="12.75" customHeight="1">
      <c r="B5" s="35"/>
      <c r="C5" s="1109"/>
      <c r="D5" s="1109"/>
      <c r="E5" s="1109"/>
      <c r="F5" s="1109"/>
      <c r="G5" s="164"/>
    </row>
    <row r="6" spans="2:7" ht="12.75">
      <c r="B6" s="35"/>
      <c r="C6" s="1109"/>
      <c r="D6" s="1109"/>
      <c r="E6" s="1109"/>
      <c r="F6" s="1109"/>
      <c r="G6" s="164"/>
    </row>
    <row r="7" spans="2:7" ht="7.5" customHeight="1">
      <c r="B7" s="35"/>
      <c r="C7" s="1110"/>
      <c r="D7" s="1110"/>
      <c r="E7" s="1110"/>
      <c r="F7" s="1110"/>
      <c r="G7" s="164"/>
    </row>
    <row r="8" spans="1:7" ht="12.75" customHeight="1">
      <c r="A8" s="114"/>
      <c r="B8" s="104" t="s">
        <v>60</v>
      </c>
      <c r="C8" s="877">
        <f>'[2]motorway'!AA9</f>
        <v>1763</v>
      </c>
      <c r="D8" s="862">
        <v>13229</v>
      </c>
      <c r="E8" s="862">
        <v>1349</v>
      </c>
      <c r="F8" s="878">
        <v>138869</v>
      </c>
      <c r="G8" s="104" t="s">
        <v>60</v>
      </c>
    </row>
    <row r="9" spans="1:7" ht="12.75" customHeight="1">
      <c r="A9" s="114"/>
      <c r="B9" s="133" t="s">
        <v>101</v>
      </c>
      <c r="C9" s="270">
        <f>'[2]motorway'!AA10</f>
        <v>541</v>
      </c>
      <c r="D9" s="271">
        <v>2975</v>
      </c>
      <c r="E9" s="879">
        <v>4035</v>
      </c>
      <c r="F9" s="880">
        <v>12051</v>
      </c>
      <c r="G9" s="133" t="s">
        <v>101</v>
      </c>
    </row>
    <row r="10" spans="1:7" ht="12.75" customHeight="1">
      <c r="A10" s="114"/>
      <c r="B10" s="102" t="s">
        <v>61</v>
      </c>
      <c r="C10" s="267">
        <f>'[2]motorway'!AA11</f>
        <v>751</v>
      </c>
      <c r="D10" s="268">
        <v>6250</v>
      </c>
      <c r="E10" s="268">
        <v>48715</v>
      </c>
      <c r="F10" s="867">
        <v>74919</v>
      </c>
      <c r="G10" s="102" t="s">
        <v>61</v>
      </c>
    </row>
    <row r="11" spans="1:7" ht="12.75" customHeight="1">
      <c r="A11" s="114"/>
      <c r="B11" s="294" t="s">
        <v>14</v>
      </c>
      <c r="C11" s="503">
        <f>'[2]motorway'!AA12</f>
        <v>1195</v>
      </c>
      <c r="D11" s="504">
        <v>2596</v>
      </c>
      <c r="E11" s="1111">
        <v>70318</v>
      </c>
      <c r="F11" s="1112"/>
      <c r="G11" s="294" t="s">
        <v>14</v>
      </c>
    </row>
    <row r="12" spans="1:7" ht="12.75" customHeight="1">
      <c r="A12" s="114"/>
      <c r="B12" s="102" t="s">
        <v>63</v>
      </c>
      <c r="C12" s="267">
        <f>'[2]motorway'!AA13</f>
        <v>12879</v>
      </c>
      <c r="D12" s="268">
        <v>39604</v>
      </c>
      <c r="E12" s="268">
        <v>178034</v>
      </c>
      <c r="F12" s="864"/>
      <c r="G12" s="102" t="s">
        <v>63</v>
      </c>
    </row>
    <row r="13" spans="1:7" ht="12.75" customHeight="1">
      <c r="A13" s="114"/>
      <c r="B13" s="133" t="s">
        <v>64</v>
      </c>
      <c r="C13" s="270">
        <f>'[2]motorway'!AA14</f>
        <v>124</v>
      </c>
      <c r="D13" s="271">
        <f>1607+2404-124</f>
        <v>3887</v>
      </c>
      <c r="E13" s="271">
        <v>12458</v>
      </c>
      <c r="F13" s="866">
        <f>23901+18398</f>
        <v>42299</v>
      </c>
      <c r="G13" s="133" t="s">
        <v>64</v>
      </c>
    </row>
    <row r="14" spans="1:7" ht="12.75" customHeight="1">
      <c r="A14" s="114"/>
      <c r="B14" s="102" t="s">
        <v>68</v>
      </c>
      <c r="C14" s="267">
        <f>'[2]motorway'!AA15</f>
        <v>900</v>
      </c>
      <c r="D14" s="268">
        <v>4513</v>
      </c>
      <c r="E14" s="268">
        <v>11631</v>
      </c>
      <c r="F14" s="867">
        <v>78958</v>
      </c>
      <c r="G14" s="102" t="s">
        <v>68</v>
      </c>
    </row>
    <row r="15" spans="1:7" ht="12.75" customHeight="1">
      <c r="A15" s="114"/>
      <c r="B15" s="133" t="s">
        <v>15</v>
      </c>
      <c r="C15" s="270">
        <f>'[2]motorway'!AA16</f>
        <v>1658.5</v>
      </c>
      <c r="D15" s="271">
        <v>9299</v>
      </c>
      <c r="E15" s="271">
        <v>30864</v>
      </c>
      <c r="F15" s="866">
        <v>75600</v>
      </c>
      <c r="G15" s="133" t="s">
        <v>15</v>
      </c>
    </row>
    <row r="16" spans="1:7" ht="12.75" customHeight="1">
      <c r="A16" s="114"/>
      <c r="B16" s="102" t="s">
        <v>66</v>
      </c>
      <c r="C16" s="267">
        <f>'[2]motorway'!AA17</f>
        <v>14701</v>
      </c>
      <c r="D16" s="268">
        <v>15110</v>
      </c>
      <c r="E16" s="268">
        <f>68384+67400</f>
        <v>135784</v>
      </c>
      <c r="F16" s="864">
        <v>501053</v>
      </c>
      <c r="G16" s="102" t="s">
        <v>66</v>
      </c>
    </row>
    <row r="17" spans="1:7" ht="12.75" customHeight="1">
      <c r="A17" s="114"/>
      <c r="B17" s="133" t="s">
        <v>67</v>
      </c>
      <c r="C17" s="270">
        <f>'[2]motorway'!AA18</f>
        <v>11465</v>
      </c>
      <c r="D17" s="271">
        <v>9784</v>
      </c>
      <c r="E17" s="271">
        <v>377965</v>
      </c>
      <c r="F17" s="866">
        <v>666343</v>
      </c>
      <c r="G17" s="133" t="s">
        <v>67</v>
      </c>
    </row>
    <row r="18" spans="1:7" ht="12.75" customHeight="1">
      <c r="A18" s="114"/>
      <c r="B18" s="102" t="s">
        <v>148</v>
      </c>
      <c r="C18" s="272">
        <f>'[2]motorway'!AA19</f>
        <v>1254</v>
      </c>
      <c r="D18" s="268">
        <v>6581</v>
      </c>
      <c r="E18" s="268">
        <v>9809</v>
      </c>
      <c r="F18" s="867">
        <v>9046</v>
      </c>
      <c r="G18" s="102" t="s">
        <v>148</v>
      </c>
    </row>
    <row r="19" spans="1:7" ht="12.75" customHeight="1">
      <c r="A19" s="114"/>
      <c r="B19" s="294" t="s">
        <v>69</v>
      </c>
      <c r="C19" s="503">
        <f>'[2]motorway'!AA20</f>
        <v>6726</v>
      </c>
      <c r="D19" s="504">
        <v>19861</v>
      </c>
      <c r="E19" s="504">
        <v>153588</v>
      </c>
      <c r="F19" s="868">
        <v>73555</v>
      </c>
      <c r="G19" s="294" t="s">
        <v>69</v>
      </c>
    </row>
    <row r="20" spans="1:7" ht="12.75" customHeight="1">
      <c r="A20" s="114"/>
      <c r="B20" s="102" t="s">
        <v>71</v>
      </c>
      <c r="C20" s="267">
        <f>'[2]motorway'!AA21</f>
        <v>257</v>
      </c>
      <c r="D20" s="268">
        <f>2460-257</f>
        <v>2203</v>
      </c>
      <c r="E20" s="268">
        <f>1774+533</f>
        <v>2307</v>
      </c>
      <c r="F20" s="867">
        <f>4110+717+171</f>
        <v>4998</v>
      </c>
      <c r="G20" s="102" t="s">
        <v>71</v>
      </c>
    </row>
    <row r="21" spans="1:7" ht="12.75" customHeight="1">
      <c r="A21" s="114"/>
      <c r="B21" s="294" t="s">
        <v>72</v>
      </c>
      <c r="C21" s="873" t="str">
        <f>'[2]motorway'!AA22</f>
        <v>-</v>
      </c>
      <c r="D21" s="504">
        <v>1669</v>
      </c>
      <c r="E21" s="504">
        <f>4231+1087</f>
        <v>5318</v>
      </c>
      <c r="F21" s="868">
        <f>2663+10465+1096+29364+4617+3381+6216+3000+500</f>
        <v>61302</v>
      </c>
      <c r="G21" s="294" t="s">
        <v>72</v>
      </c>
    </row>
    <row r="22" spans="1:7" ht="12.75" customHeight="1">
      <c r="A22" s="114"/>
      <c r="B22" s="102" t="s">
        <v>73</v>
      </c>
      <c r="C22" s="267">
        <f>'[2]motorway'!AA23</f>
        <v>309</v>
      </c>
      <c r="D22" s="881">
        <f>4929+1746-309</f>
        <v>6366</v>
      </c>
      <c r="E22" s="881">
        <v>14567</v>
      </c>
      <c r="F22" s="882">
        <v>51055</v>
      </c>
      <c r="G22" s="102" t="s">
        <v>73</v>
      </c>
    </row>
    <row r="23" spans="1:7" ht="12.75" customHeight="1">
      <c r="A23" s="114"/>
      <c r="B23" s="294" t="s">
        <v>76</v>
      </c>
      <c r="C23" s="503">
        <f>'[2]motorway'!AA24</f>
        <v>152</v>
      </c>
      <c r="D23" s="504">
        <v>837</v>
      </c>
      <c r="E23" s="1111">
        <v>1891</v>
      </c>
      <c r="F23" s="1113"/>
      <c r="G23" s="294" t="s">
        <v>76</v>
      </c>
    </row>
    <row r="24" spans="1:7" ht="12.75" customHeight="1">
      <c r="A24" s="114"/>
      <c r="B24" s="102" t="s">
        <v>77</v>
      </c>
      <c r="C24" s="267">
        <f>'[2]motorway'!AA25</f>
        <v>1515.1</v>
      </c>
      <c r="D24" s="268">
        <v>6386</v>
      </c>
      <c r="E24" s="268">
        <v>23341</v>
      </c>
      <c r="F24" s="867">
        <v>170429</v>
      </c>
      <c r="G24" s="102" t="s">
        <v>77</v>
      </c>
    </row>
    <row r="25" spans="1:7" ht="12.75" customHeight="1">
      <c r="A25" s="114"/>
      <c r="B25" s="294" t="s">
        <v>78</v>
      </c>
      <c r="C25" s="873" t="str">
        <f>'[2]motorway'!AA26</f>
        <v>-</v>
      </c>
      <c r="D25" s="1111">
        <v>2361.4</v>
      </c>
      <c r="E25" s="1111"/>
      <c r="F25" s="1113"/>
      <c r="G25" s="294" t="s">
        <v>78</v>
      </c>
    </row>
    <row r="26" spans="1:7" ht="12.75" customHeight="1">
      <c r="A26" s="114"/>
      <c r="B26" s="102" t="s">
        <v>16</v>
      </c>
      <c r="C26" s="267">
        <f>'[2]motorway'!AA27</f>
        <v>2666</v>
      </c>
      <c r="D26" s="268">
        <f>5191-2666</f>
        <v>2525</v>
      </c>
      <c r="E26" s="268">
        <v>7778</v>
      </c>
      <c r="F26" s="867">
        <v>125230</v>
      </c>
      <c r="G26" s="102" t="s">
        <v>16</v>
      </c>
    </row>
    <row r="27" spans="1:7" ht="12.75" customHeight="1">
      <c r="A27" s="114"/>
      <c r="B27" s="294" t="s">
        <v>81</v>
      </c>
      <c r="C27" s="503">
        <f>'[2]motorway'!AA28</f>
        <v>1719</v>
      </c>
      <c r="D27" s="504">
        <v>9996.735</v>
      </c>
      <c r="E27" s="504">
        <v>23640.261</v>
      </c>
      <c r="F27" s="868">
        <v>88758.932</v>
      </c>
      <c r="G27" s="294" t="s">
        <v>81</v>
      </c>
    </row>
    <row r="28" spans="1:7" ht="12.75" customHeight="1">
      <c r="A28" s="114"/>
      <c r="B28" s="102" t="s">
        <v>80</v>
      </c>
      <c r="C28" s="267">
        <f>'[2]motorway'!AA29</f>
        <v>1365</v>
      </c>
      <c r="D28" s="268">
        <f>19182-C28</f>
        <v>17817</v>
      </c>
      <c r="E28" s="268">
        <v>154202</v>
      </c>
      <c r="F28" s="867">
        <v>238651</v>
      </c>
      <c r="G28" s="102" t="s">
        <v>80</v>
      </c>
    </row>
    <row r="29" spans="1:7" ht="12.75" customHeight="1">
      <c r="A29" s="114"/>
      <c r="B29" s="294" t="s">
        <v>92</v>
      </c>
      <c r="C29" s="503">
        <f>'[2]motorway'!AA30</f>
        <v>2988</v>
      </c>
      <c r="D29" s="504">
        <f>14284-4791-2988</f>
        <v>6505</v>
      </c>
      <c r="E29" s="504">
        <v>4791</v>
      </c>
      <c r="F29" s="876"/>
      <c r="G29" s="294" t="s">
        <v>92</v>
      </c>
    </row>
    <row r="30" spans="1:7" ht="12.75" customHeight="1">
      <c r="A30" s="114"/>
      <c r="B30" s="102" t="s">
        <v>102</v>
      </c>
      <c r="C30" s="267">
        <f>'[2]motorway'!AA31</f>
        <v>550</v>
      </c>
      <c r="D30" s="268">
        <v>16690</v>
      </c>
      <c r="E30" s="881">
        <v>35374</v>
      </c>
      <c r="F30" s="882">
        <v>31639</v>
      </c>
      <c r="G30" s="102" t="s">
        <v>102</v>
      </c>
    </row>
    <row r="31" spans="1:7" ht="12.75" customHeight="1">
      <c r="A31" s="114"/>
      <c r="B31" s="294" t="s">
        <v>83</v>
      </c>
      <c r="C31" s="503">
        <f>'[2]motorway'!AA32</f>
        <v>769</v>
      </c>
      <c r="D31" s="504">
        <v>820</v>
      </c>
      <c r="E31" s="504">
        <v>5149</v>
      </c>
      <c r="F31" s="868">
        <f>13451+18796</f>
        <v>32247</v>
      </c>
      <c r="G31" s="294" t="s">
        <v>83</v>
      </c>
    </row>
    <row r="32" spans="1:7" ht="12.75" customHeight="1">
      <c r="A32" s="114"/>
      <c r="B32" s="102" t="s">
        <v>85</v>
      </c>
      <c r="C32" s="267">
        <f>'[2]motorway'!AA33</f>
        <v>419.2</v>
      </c>
      <c r="D32" s="268">
        <v>3545.978</v>
      </c>
      <c r="E32" s="268">
        <f>3636.648+10414.723</f>
        <v>14051.371</v>
      </c>
      <c r="F32" s="867">
        <f>36852</f>
        <v>36852</v>
      </c>
      <c r="G32" s="102" t="s">
        <v>85</v>
      </c>
    </row>
    <row r="33" spans="1:7" ht="12.75" customHeight="1">
      <c r="A33" s="114"/>
      <c r="B33" s="294" t="s">
        <v>87</v>
      </c>
      <c r="C33" s="503">
        <f>'[2]motorway'!AA34</f>
        <v>810</v>
      </c>
      <c r="D33" s="504">
        <f>8603+4729-810</f>
        <v>12522</v>
      </c>
      <c r="E33" s="504">
        <v>13565</v>
      </c>
      <c r="F33" s="868">
        <v>51213</v>
      </c>
      <c r="G33" s="294" t="s">
        <v>87</v>
      </c>
    </row>
    <row r="34" spans="1:7" ht="12.75" customHeight="1">
      <c r="A34" s="114"/>
      <c r="B34" s="102" t="s">
        <v>88</v>
      </c>
      <c r="C34" s="268">
        <f>'[2]motorway'!AA35</f>
        <v>2013</v>
      </c>
      <c r="D34" s="268">
        <f>8320+7200-2013</f>
        <v>13507</v>
      </c>
      <c r="E34" s="268">
        <f>82988</f>
        <v>82988</v>
      </c>
      <c r="F34" s="867">
        <f>76228+41746</f>
        <v>117974</v>
      </c>
      <c r="G34" s="102" t="s">
        <v>88</v>
      </c>
    </row>
    <row r="35" spans="1:7" ht="12.75" customHeight="1">
      <c r="A35" s="114"/>
      <c r="B35" s="294" t="s">
        <v>13</v>
      </c>
      <c r="C35" s="503">
        <f>'[2]motorway'!AA36</f>
        <v>3756.02</v>
      </c>
      <c r="D35" s="504">
        <f>209.5+2079.1+46749</f>
        <v>49037.6</v>
      </c>
      <c r="E35" s="875">
        <f>30217+85120+1.7+2902.2+1.3+4723.7</f>
        <v>122965.9</v>
      </c>
      <c r="F35" s="876">
        <f>1.3+15454.7+229733</f>
        <v>245189</v>
      </c>
      <c r="G35" s="294" t="s">
        <v>13</v>
      </c>
    </row>
    <row r="36" spans="1:7" ht="12.75" customHeight="1">
      <c r="A36" s="114"/>
      <c r="B36" s="104" t="s">
        <v>310</v>
      </c>
      <c r="C36" s="877"/>
      <c r="D36" s="862"/>
      <c r="E36" s="862"/>
      <c r="F36" s="878"/>
      <c r="G36" s="104" t="s">
        <v>310</v>
      </c>
    </row>
    <row r="37" spans="1:7" ht="12.75" customHeight="1">
      <c r="A37" s="114"/>
      <c r="B37" s="294" t="s">
        <v>244</v>
      </c>
      <c r="C37" s="873" t="str">
        <f>'[2]motorway'!AA38</f>
        <v>-</v>
      </c>
      <c r="D37" s="1111">
        <v>7905</v>
      </c>
      <c r="E37" s="1111"/>
      <c r="F37" s="1113"/>
      <c r="G37" s="294" t="s">
        <v>244</v>
      </c>
    </row>
    <row r="38" spans="1:7" ht="12.75" customHeight="1">
      <c r="A38" s="114"/>
      <c r="B38" s="102" t="s">
        <v>149</v>
      </c>
      <c r="C38" s="267">
        <f>'[2]motorway'!AA39</f>
        <v>259</v>
      </c>
      <c r="D38" s="268">
        <v>911</v>
      </c>
      <c r="E38" s="268">
        <v>3772</v>
      </c>
      <c r="F38" s="867">
        <v>9355</v>
      </c>
      <c r="G38" s="102" t="s">
        <v>149</v>
      </c>
    </row>
    <row r="39" spans="1:7" ht="12.75" customHeight="1">
      <c r="A39" s="114"/>
      <c r="B39" s="294" t="s">
        <v>245</v>
      </c>
      <c r="C39" s="503">
        <f>'[2]motorway'!AA40</f>
        <v>603</v>
      </c>
      <c r="D39" s="504">
        <v>4856</v>
      </c>
      <c r="E39" s="504">
        <v>9863</v>
      </c>
      <c r="F39" s="868">
        <v>29278</v>
      </c>
      <c r="G39" s="294" t="s">
        <v>245</v>
      </c>
    </row>
    <row r="40" spans="1:7" ht="12.75">
      <c r="A40" s="114"/>
      <c r="B40" s="103" t="s">
        <v>150</v>
      </c>
      <c r="C40" s="274">
        <f>'[2]motorway'!AA41</f>
        <v>2127</v>
      </c>
      <c r="D40" s="275">
        <v>31375</v>
      </c>
      <c r="E40" s="275">
        <v>31880</v>
      </c>
      <c r="F40" s="872">
        <v>320366</v>
      </c>
      <c r="G40" s="103" t="s">
        <v>150</v>
      </c>
    </row>
    <row r="41" spans="1:7" ht="12.75" customHeight="1">
      <c r="A41" s="114"/>
      <c r="B41" s="522" t="s">
        <v>151</v>
      </c>
      <c r="C41" s="875">
        <f>'[2]motorway'!AA42</f>
        <v>11</v>
      </c>
      <c r="D41" s="504">
        <v>4919</v>
      </c>
      <c r="E41" s="504">
        <v>2950</v>
      </c>
      <c r="F41" s="504">
        <v>5010</v>
      </c>
      <c r="G41" s="522" t="s">
        <v>151</v>
      </c>
    </row>
    <row r="42" spans="1:7" ht="12.75" customHeight="1">
      <c r="A42" s="114"/>
      <c r="B42" s="102" t="s">
        <v>152</v>
      </c>
      <c r="C42" s="268">
        <f>'[2]motorway'!AA43</f>
        <v>392</v>
      </c>
      <c r="D42" s="268">
        <v>10581</v>
      </c>
      <c r="E42" s="268">
        <v>44317</v>
      </c>
      <c r="F42" s="268">
        <v>38970</v>
      </c>
      <c r="G42" s="102" t="s">
        <v>152</v>
      </c>
    </row>
    <row r="43" spans="1:7" ht="16.5" customHeight="1">
      <c r="A43" s="114"/>
      <c r="B43" s="477" t="s">
        <v>153</v>
      </c>
      <c r="C43" s="504">
        <f>'[2]motorway'!AA44</f>
        <v>1419</v>
      </c>
      <c r="D43" s="504">
        <v>390</v>
      </c>
      <c r="E43" s="504">
        <v>18013</v>
      </c>
      <c r="F43" s="504">
        <v>51697</v>
      </c>
      <c r="G43" s="477" t="s">
        <v>153</v>
      </c>
    </row>
    <row r="44" spans="2:7" ht="30" customHeight="1">
      <c r="B44" s="1105" t="s">
        <v>333</v>
      </c>
      <c r="C44" s="1105"/>
      <c r="D44" s="1105"/>
      <c r="E44" s="1105"/>
      <c r="F44" s="1105"/>
      <c r="G44" s="1105"/>
    </row>
    <row r="45" spans="2:7" ht="12.75" customHeight="1">
      <c r="B45" s="1114" t="s">
        <v>174</v>
      </c>
      <c r="C45" s="1114"/>
      <c r="D45" s="1114"/>
      <c r="E45" s="1114"/>
      <c r="F45" s="1114"/>
      <c r="G45" s="1114"/>
    </row>
    <row r="46" spans="2:7" ht="23.25" customHeight="1">
      <c r="B46" s="1088" t="s">
        <v>207</v>
      </c>
      <c r="C46" s="1115"/>
      <c r="D46" s="1115"/>
      <c r="E46" s="1115"/>
      <c r="F46" s="1115"/>
      <c r="G46" s="1115"/>
    </row>
    <row r="47" spans="2:7" ht="12.75" customHeight="1">
      <c r="B47" s="1088" t="s">
        <v>208</v>
      </c>
      <c r="C47" s="1115"/>
      <c r="D47" s="1115"/>
      <c r="E47" s="1115"/>
      <c r="F47" s="1115"/>
      <c r="G47" s="1115"/>
    </row>
    <row r="48" ht="12.75" customHeight="1">
      <c r="B48" s="118" t="s">
        <v>334</v>
      </c>
    </row>
    <row r="49" ht="12.75">
      <c r="B49" s="118"/>
    </row>
    <row r="51" ht="12.75">
      <c r="E51" s="296"/>
    </row>
    <row r="52" ht="12.75">
      <c r="E52" s="296"/>
    </row>
    <row r="53" ht="12.75">
      <c r="E53" s="296"/>
    </row>
    <row r="54" ht="12.75">
      <c r="E54" s="296"/>
    </row>
    <row r="55" ht="12.75">
      <c r="E55" s="296"/>
    </row>
    <row r="56" ht="12.75">
      <c r="E56" s="296"/>
    </row>
    <row r="57" ht="12.75">
      <c r="E57" s="296"/>
    </row>
    <row r="58" ht="12.75">
      <c r="E58" s="296"/>
    </row>
    <row r="59" ht="12.75">
      <c r="E59" s="296"/>
    </row>
    <row r="60" ht="12.75">
      <c r="E60" s="296"/>
    </row>
    <row r="61" ht="12.75">
      <c r="E61" s="296"/>
    </row>
    <row r="62" ht="12.75">
      <c r="E62" s="296"/>
    </row>
    <row r="63" ht="12.75">
      <c r="E63" s="296"/>
    </row>
    <row r="64" ht="12.75">
      <c r="E64" s="296"/>
    </row>
    <row r="65" ht="12.75">
      <c r="E65" s="296"/>
    </row>
    <row r="66" ht="12.75">
      <c r="E66" s="296"/>
    </row>
    <row r="67" ht="12.75">
      <c r="E67" s="296"/>
    </row>
    <row r="68" ht="12.75">
      <c r="E68" s="296"/>
    </row>
    <row r="69" ht="12.75">
      <c r="E69" s="296"/>
    </row>
    <row r="70" ht="12.75">
      <c r="E70" s="296"/>
    </row>
    <row r="71" ht="12.75">
      <c r="E71" s="296"/>
    </row>
    <row r="72" ht="12.75">
      <c r="E72" s="296"/>
    </row>
    <row r="73" ht="12.75">
      <c r="E73" s="296"/>
    </row>
    <row r="74" ht="12.75">
      <c r="E74" s="296"/>
    </row>
    <row r="75" ht="12.75">
      <c r="E75" s="296"/>
    </row>
    <row r="76" ht="12.75">
      <c r="E76" s="296"/>
    </row>
    <row r="77" ht="12.75">
      <c r="E77" s="296"/>
    </row>
  </sheetData>
  <sheetProtection/>
  <mergeCells count="16">
    <mergeCell ref="B45:G45"/>
    <mergeCell ref="B46:G46"/>
    <mergeCell ref="B47:G47"/>
    <mergeCell ref="B1:C1"/>
    <mergeCell ref="F1:G1"/>
    <mergeCell ref="B2:G2"/>
    <mergeCell ref="C3:F3"/>
    <mergeCell ref="C4:C7"/>
    <mergeCell ref="D4:D7"/>
    <mergeCell ref="B44:G44"/>
    <mergeCell ref="E4:E7"/>
    <mergeCell ref="F4:F7"/>
    <mergeCell ref="E11:F11"/>
    <mergeCell ref="E23:F23"/>
    <mergeCell ref="D25:F25"/>
    <mergeCell ref="D37:F3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1:AG48"/>
  <sheetViews>
    <sheetView zoomScalePageLayoutView="0" workbookViewId="0" topLeftCell="A1">
      <selection activeCell="A1" sqref="A1"/>
    </sheetView>
  </sheetViews>
  <sheetFormatPr defaultColWidth="9.140625" defaultRowHeight="12.75"/>
  <cols>
    <col min="1" max="1" width="2.7109375" style="96" customWidth="1"/>
    <col min="2" max="2" width="4.00390625" style="96" customWidth="1"/>
    <col min="3" max="4" width="6.7109375" style="96" customWidth="1"/>
    <col min="5" max="6" width="6.8515625" style="96" customWidth="1"/>
    <col min="7" max="7" width="6.7109375" style="96" customWidth="1"/>
    <col min="8" max="8" width="8.140625" style="96" customWidth="1"/>
    <col min="9" max="10" width="6.7109375" style="96" customWidth="1"/>
    <col min="11" max="19" width="6.8515625" style="96" customWidth="1"/>
    <col min="20" max="24" width="6.7109375" style="96" customWidth="1"/>
    <col min="25" max="25" width="8.57421875" style="96" customWidth="1"/>
    <col min="26" max="26" width="7.00390625" style="96" customWidth="1"/>
    <col min="27" max="31" width="9.8515625" style="96" customWidth="1"/>
    <col min="32" max="32" width="7.00390625" style="96" customWidth="1"/>
    <col min="33" max="33" width="5.00390625" style="96" customWidth="1"/>
    <col min="34" max="16384" width="9.140625" style="96" customWidth="1"/>
  </cols>
  <sheetData>
    <row r="1" spans="2:33" ht="14.25" customHeight="1">
      <c r="B1" s="1106"/>
      <c r="C1" s="1106"/>
      <c r="D1" s="253"/>
      <c r="E1" s="95"/>
      <c r="F1" s="95"/>
      <c r="G1" s="95"/>
      <c r="H1" s="95"/>
      <c r="I1" s="95"/>
      <c r="J1" s="95"/>
      <c r="K1" s="95"/>
      <c r="L1" s="95"/>
      <c r="AA1" s="97" t="s">
        <v>130</v>
      </c>
      <c r="AB1" s="97"/>
      <c r="AC1" s="97"/>
      <c r="AD1" s="97"/>
      <c r="AE1" s="97"/>
      <c r="AF1" s="97"/>
      <c r="AG1" s="97"/>
    </row>
    <row r="2" spans="2:33" ht="30" customHeight="1">
      <c r="B2" s="1059" t="s">
        <v>209</v>
      </c>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96"/>
      <c r="AC2" s="196"/>
      <c r="AD2" s="196"/>
      <c r="AE2" s="196"/>
      <c r="AF2" s="196"/>
      <c r="AG2" s="196"/>
    </row>
    <row r="3" spans="2:33" ht="12.75" customHeight="1">
      <c r="B3" s="123"/>
      <c r="C3" s="123"/>
      <c r="E3" s="255"/>
      <c r="F3" s="255"/>
      <c r="H3" s="305"/>
      <c r="I3" s="305"/>
      <c r="J3" s="305"/>
      <c r="K3" s="305"/>
      <c r="L3" s="305"/>
      <c r="M3" s="305"/>
      <c r="N3" s="305"/>
      <c r="O3" s="305"/>
      <c r="P3" s="305"/>
      <c r="Q3" s="305"/>
      <c r="R3" s="305"/>
      <c r="S3" s="305"/>
      <c r="T3" s="305"/>
      <c r="U3" s="305"/>
      <c r="V3" s="305"/>
      <c r="W3" s="305"/>
      <c r="X3" s="305"/>
      <c r="Z3" s="257"/>
      <c r="AA3" s="157"/>
      <c r="AB3" s="157"/>
      <c r="AC3" s="157"/>
      <c r="AD3" s="157"/>
      <c r="AE3" s="157"/>
      <c r="AF3" s="157"/>
      <c r="AG3" s="157"/>
    </row>
    <row r="4" spans="2:33" ht="23.25" customHeight="1">
      <c r="B4" s="98"/>
      <c r="C4" s="100">
        <v>1970</v>
      </c>
      <c r="D4" s="101">
        <v>1980</v>
      </c>
      <c r="E4" s="101">
        <v>1990</v>
      </c>
      <c r="F4" s="101">
        <v>1995</v>
      </c>
      <c r="G4" s="101">
        <v>1996</v>
      </c>
      <c r="H4" s="101">
        <v>1997</v>
      </c>
      <c r="I4" s="101">
        <v>1998</v>
      </c>
      <c r="J4" s="101">
        <v>1999</v>
      </c>
      <c r="K4" s="101">
        <v>2000</v>
      </c>
      <c r="L4" s="101">
        <v>2001</v>
      </c>
      <c r="M4" s="101">
        <v>2002</v>
      </c>
      <c r="N4" s="101">
        <v>2003</v>
      </c>
      <c r="O4" s="101">
        <v>2004</v>
      </c>
      <c r="P4" s="101">
        <v>2005</v>
      </c>
      <c r="Q4" s="101">
        <v>2006</v>
      </c>
      <c r="R4" s="101">
        <v>2007</v>
      </c>
      <c r="S4" s="101">
        <v>2008</v>
      </c>
      <c r="T4" s="101">
        <v>2009</v>
      </c>
      <c r="U4" s="101">
        <v>2010</v>
      </c>
      <c r="V4" s="101">
        <v>2011</v>
      </c>
      <c r="W4" s="101">
        <v>2012</v>
      </c>
      <c r="X4" s="101">
        <v>2013</v>
      </c>
      <c r="Y4" s="306"/>
      <c r="Z4" s="307"/>
      <c r="AA4" s="307"/>
      <c r="AB4" s="307"/>
      <c r="AC4" s="307"/>
      <c r="AD4" s="307"/>
      <c r="AE4" s="307" t="s">
        <v>210</v>
      </c>
      <c r="AF4" s="308"/>
      <c r="AG4" s="157"/>
    </row>
    <row r="5" spans="2:33" ht="12" customHeight="1">
      <c r="B5" s="124"/>
      <c r="C5" s="125"/>
      <c r="D5" s="127"/>
      <c r="E5" s="127"/>
      <c r="F5" s="127"/>
      <c r="G5" s="127"/>
      <c r="H5" s="127"/>
      <c r="I5" s="127"/>
      <c r="J5" s="127"/>
      <c r="K5" s="127"/>
      <c r="L5" s="127"/>
      <c r="M5" s="127"/>
      <c r="N5" s="127"/>
      <c r="O5" s="127"/>
      <c r="P5" s="127"/>
      <c r="Q5" s="127"/>
      <c r="R5" s="127"/>
      <c r="S5" s="127"/>
      <c r="T5" s="127"/>
      <c r="U5" s="127"/>
      <c r="V5" s="127"/>
      <c r="W5" s="127"/>
      <c r="X5" s="127"/>
      <c r="Y5" s="310">
        <v>2007</v>
      </c>
      <c r="Z5" s="311">
        <v>2008</v>
      </c>
      <c r="AA5" s="311">
        <v>2009</v>
      </c>
      <c r="AB5" s="311">
        <v>2010</v>
      </c>
      <c r="AC5" s="311">
        <v>2011</v>
      </c>
      <c r="AD5" s="311">
        <v>2012</v>
      </c>
      <c r="AE5" s="311">
        <v>2013</v>
      </c>
      <c r="AF5" s="312" t="s">
        <v>147</v>
      </c>
      <c r="AG5" s="224"/>
    </row>
    <row r="6" spans="2:33" ht="12.75" customHeight="1">
      <c r="B6" s="129" t="s">
        <v>260</v>
      </c>
      <c r="C6" s="883">
        <f>13308+SUM(C9:C36)</f>
        <v>248269</v>
      </c>
      <c r="D6" s="884">
        <f>13131+SUM(D9:D36)</f>
        <v>240629</v>
      </c>
      <c r="E6" s="884">
        <f>13111+SUM(E9:E36)</f>
        <v>237671</v>
      </c>
      <c r="F6" s="884">
        <f>SUM(F9:F36)</f>
        <v>229435</v>
      </c>
      <c r="G6" s="884">
        <f aca="true" t="shared" si="0" ref="G6:AA6">SUM(G9:G36)</f>
        <v>220627</v>
      </c>
      <c r="H6" s="884">
        <f t="shared" si="0"/>
        <v>218237</v>
      </c>
      <c r="I6" s="884">
        <f t="shared" si="0"/>
        <v>216958</v>
      </c>
      <c r="J6" s="884">
        <f t="shared" si="0"/>
        <v>213312</v>
      </c>
      <c r="K6" s="884">
        <f t="shared" si="0"/>
        <v>220583</v>
      </c>
      <c r="L6" s="884">
        <f t="shared" si="0"/>
        <v>217502</v>
      </c>
      <c r="M6" s="884">
        <f t="shared" si="0"/>
        <v>217892</v>
      </c>
      <c r="N6" s="884">
        <f t="shared" si="0"/>
        <v>219024</v>
      </c>
      <c r="O6" s="884">
        <f t="shared" si="0"/>
        <v>216225</v>
      </c>
      <c r="P6" s="262">
        <f t="shared" si="0"/>
        <v>215110</v>
      </c>
      <c r="Q6" s="262">
        <f t="shared" si="0"/>
        <v>215378</v>
      </c>
      <c r="R6" s="262">
        <f t="shared" si="0"/>
        <v>215676</v>
      </c>
      <c r="S6" s="262">
        <f t="shared" si="0"/>
        <v>216043</v>
      </c>
      <c r="T6" s="262">
        <f t="shared" si="0"/>
        <v>216122</v>
      </c>
      <c r="U6" s="262">
        <f t="shared" si="0"/>
        <v>216232</v>
      </c>
      <c r="V6" s="860">
        <f t="shared" si="0"/>
        <v>216964</v>
      </c>
      <c r="W6" s="860">
        <f t="shared" si="0"/>
        <v>216507</v>
      </c>
      <c r="X6" s="860">
        <f t="shared" si="0"/>
        <v>215298</v>
      </c>
      <c r="Y6" s="883">
        <f t="shared" si="0"/>
        <v>111024</v>
      </c>
      <c r="Z6" s="884">
        <f t="shared" si="0"/>
        <v>111778</v>
      </c>
      <c r="AA6" s="884">
        <f t="shared" si="0"/>
        <v>112268</v>
      </c>
      <c r="AB6" s="884">
        <f>SUM(AB9:AB36)</f>
        <v>113229</v>
      </c>
      <c r="AC6" s="885">
        <f>SUM(AC9:AC36)</f>
        <v>114418</v>
      </c>
      <c r="AD6" s="885">
        <f>SUM(AD9:AD36)</f>
        <v>115516</v>
      </c>
      <c r="AE6" s="885">
        <f>SUM(AE9:AE36)</f>
        <v>115734</v>
      </c>
      <c r="AF6" s="166">
        <f>AE6/X6*100</f>
        <v>53.75526015104646</v>
      </c>
      <c r="AG6" s="129" t="s">
        <v>260</v>
      </c>
    </row>
    <row r="7" spans="2:33" ht="12.75" customHeight="1">
      <c r="B7" s="133" t="s">
        <v>89</v>
      </c>
      <c r="C7" s="886">
        <f>SUM(C9,C12:C13,C15:C20,C24,C27:C28,C30,C34:C36)-C19</f>
        <v>175274</v>
      </c>
      <c r="D7" s="887">
        <f>SUM(D9,D12:D13,D15:D20,D24,D27:D28,D30,D34:D36)-D19</f>
        <v>168150</v>
      </c>
      <c r="E7" s="887">
        <f>SUM(E9,E12:E13,E15:E20,E24,E27:E28,E30,E34:E36)-E19</f>
        <v>162132</v>
      </c>
      <c r="F7" s="887">
        <f>SUM(F9,F12:F13,F15:F18,F24,F27:F28,F30,F34:F36,F20)</f>
        <v>160037</v>
      </c>
      <c r="G7" s="887">
        <f aca="true" t="shared" si="1" ref="G7:X7">SUM(G9,G12:G13,G15:G18,G24,G27:G28,G30,G34:G36,G20)</f>
        <v>159068</v>
      </c>
      <c r="H7" s="887">
        <f t="shared" si="1"/>
        <v>156830</v>
      </c>
      <c r="I7" s="887">
        <f t="shared" si="1"/>
        <v>156249</v>
      </c>
      <c r="J7" s="887">
        <f t="shared" si="1"/>
        <v>153028</v>
      </c>
      <c r="K7" s="887">
        <f t="shared" si="1"/>
        <v>152446</v>
      </c>
      <c r="L7" s="887">
        <f t="shared" si="1"/>
        <v>152189</v>
      </c>
      <c r="M7" s="887">
        <f t="shared" si="1"/>
        <v>152180</v>
      </c>
      <c r="N7" s="887">
        <f t="shared" si="1"/>
        <v>152791</v>
      </c>
      <c r="O7" s="887">
        <f t="shared" si="1"/>
        <v>150463</v>
      </c>
      <c r="P7" s="264">
        <f t="shared" si="1"/>
        <v>150316</v>
      </c>
      <c r="Q7" s="264">
        <f t="shared" si="1"/>
        <v>150849</v>
      </c>
      <c r="R7" s="264">
        <f t="shared" si="1"/>
        <v>151381</v>
      </c>
      <c r="S7" s="264">
        <f t="shared" si="1"/>
        <v>151597</v>
      </c>
      <c r="T7" s="264">
        <f t="shared" si="1"/>
        <v>151300</v>
      </c>
      <c r="U7" s="264">
        <f t="shared" si="1"/>
        <v>151519</v>
      </c>
      <c r="V7" s="861">
        <f t="shared" si="1"/>
        <v>152287</v>
      </c>
      <c r="W7" s="861">
        <f t="shared" si="1"/>
        <v>151968</v>
      </c>
      <c r="X7" s="861">
        <f t="shared" si="1"/>
        <v>151484</v>
      </c>
      <c r="Y7" s="886">
        <f>SUM(Y9,Y12:Y13,Y15:Y18,Y24,Y27:Y28,Y30,Y34:Y36)+Y20</f>
        <v>82984</v>
      </c>
      <c r="Z7" s="887">
        <f aca="true" t="shared" si="2" ref="Z7:AE7">SUM(Z9,Z12:Z13,Z15:Z18,Z24,Z27:Z28,Z30,Z34:Z36)+Z20</f>
        <v>83620</v>
      </c>
      <c r="AA7" s="887">
        <f t="shared" si="2"/>
        <v>83967</v>
      </c>
      <c r="AB7" s="887">
        <f t="shared" si="2"/>
        <v>84826</v>
      </c>
      <c r="AC7" s="888">
        <f t="shared" si="2"/>
        <v>85930</v>
      </c>
      <c r="AD7" s="888">
        <f t="shared" si="2"/>
        <v>86957</v>
      </c>
      <c r="AE7" s="888">
        <f t="shared" si="2"/>
        <v>87218</v>
      </c>
      <c r="AF7" s="169">
        <f aca="true" t="shared" si="3" ref="AF7:AF44">AE7/X7*100</f>
        <v>57.57571756753188</v>
      </c>
      <c r="AG7" s="133" t="s">
        <v>89</v>
      </c>
    </row>
    <row r="8" spans="2:33" ht="12.75" customHeight="1">
      <c r="B8" s="134" t="s">
        <v>261</v>
      </c>
      <c r="C8" s="889">
        <f>13308+SUM(C10,C11,C14,C21,C22,C23,C25,C26,C29,C31,C32,C33)+C19</f>
        <v>72995</v>
      </c>
      <c r="D8" s="890">
        <f>13131+SUM(D10,D11,D14,D21,D22,D23,D25,D26,D29,D31,D32,D33)+D19</f>
        <v>72479</v>
      </c>
      <c r="E8" s="890">
        <f>13111+SUM(E10,E11,E14,E21,E22,E23,E25,E26,E29,E31,E32,E33)+E19-E33</f>
        <v>71879</v>
      </c>
      <c r="F8" s="890">
        <f>F6-F7</f>
        <v>69398</v>
      </c>
      <c r="G8" s="890">
        <f aca="true" t="shared" si="4" ref="G8:X8">G6-G7</f>
        <v>61559</v>
      </c>
      <c r="H8" s="890">
        <f t="shared" si="4"/>
        <v>61407</v>
      </c>
      <c r="I8" s="890">
        <f t="shared" si="4"/>
        <v>60709</v>
      </c>
      <c r="J8" s="890">
        <f t="shared" si="4"/>
        <v>60284</v>
      </c>
      <c r="K8" s="890">
        <f t="shared" si="4"/>
        <v>68137</v>
      </c>
      <c r="L8" s="890">
        <f t="shared" si="4"/>
        <v>65313</v>
      </c>
      <c r="M8" s="890">
        <f t="shared" si="4"/>
        <v>65712</v>
      </c>
      <c r="N8" s="890">
        <f t="shared" si="4"/>
        <v>66233</v>
      </c>
      <c r="O8" s="890">
        <f t="shared" si="4"/>
        <v>65762</v>
      </c>
      <c r="P8" s="266">
        <f t="shared" si="4"/>
        <v>64794</v>
      </c>
      <c r="Q8" s="266">
        <f t="shared" si="4"/>
        <v>64529</v>
      </c>
      <c r="R8" s="266">
        <f t="shared" si="4"/>
        <v>64295</v>
      </c>
      <c r="S8" s="266">
        <f t="shared" si="4"/>
        <v>64446</v>
      </c>
      <c r="T8" s="266">
        <f t="shared" si="4"/>
        <v>64822</v>
      </c>
      <c r="U8" s="266">
        <f t="shared" si="4"/>
        <v>64713</v>
      </c>
      <c r="V8" s="266">
        <f t="shared" si="4"/>
        <v>64677</v>
      </c>
      <c r="W8" s="266">
        <f t="shared" si="4"/>
        <v>64539</v>
      </c>
      <c r="X8" s="266">
        <f t="shared" si="4"/>
        <v>63814</v>
      </c>
      <c r="Y8" s="889">
        <f>Y6-Y7</f>
        <v>28040</v>
      </c>
      <c r="Z8" s="890">
        <f aca="true" t="shared" si="5" ref="Z8:AE8">Z6-Z7</f>
        <v>28158</v>
      </c>
      <c r="AA8" s="890">
        <f t="shared" si="5"/>
        <v>28301</v>
      </c>
      <c r="AB8" s="890">
        <f t="shared" si="5"/>
        <v>28403</v>
      </c>
      <c r="AC8" s="890">
        <f t="shared" si="5"/>
        <v>28488</v>
      </c>
      <c r="AD8" s="890">
        <f t="shared" si="5"/>
        <v>28559</v>
      </c>
      <c r="AE8" s="890">
        <f t="shared" si="5"/>
        <v>28516</v>
      </c>
      <c r="AF8" s="173">
        <f t="shared" si="3"/>
        <v>44.68611903344094</v>
      </c>
      <c r="AG8" s="134" t="s">
        <v>261</v>
      </c>
    </row>
    <row r="9" spans="1:33" ht="12.75" customHeight="1">
      <c r="A9" s="114"/>
      <c r="B9" s="104" t="s">
        <v>60</v>
      </c>
      <c r="C9" s="891">
        <v>4605</v>
      </c>
      <c r="D9" s="892">
        <v>3971</v>
      </c>
      <c r="E9" s="892">
        <v>3479</v>
      </c>
      <c r="F9" s="892">
        <v>3368</v>
      </c>
      <c r="G9" s="892">
        <v>3380</v>
      </c>
      <c r="H9" s="892">
        <v>3422</v>
      </c>
      <c r="I9" s="892">
        <v>3470</v>
      </c>
      <c r="J9" s="892">
        <v>3472</v>
      </c>
      <c r="K9" s="892">
        <v>3471</v>
      </c>
      <c r="L9" s="892">
        <v>3454</v>
      </c>
      <c r="M9" s="892">
        <v>3518</v>
      </c>
      <c r="N9" s="892">
        <v>3521</v>
      </c>
      <c r="O9" s="892">
        <v>3536</v>
      </c>
      <c r="P9" s="268">
        <v>3544</v>
      </c>
      <c r="Q9" s="881">
        <v>3500</v>
      </c>
      <c r="R9" s="268">
        <v>3374</v>
      </c>
      <c r="S9" s="268">
        <v>3513</v>
      </c>
      <c r="T9" s="268">
        <v>3578</v>
      </c>
      <c r="U9" s="268">
        <v>3582</v>
      </c>
      <c r="V9" s="863">
        <v>3582</v>
      </c>
      <c r="W9" s="863">
        <v>3582</v>
      </c>
      <c r="X9" s="863">
        <v>3582</v>
      </c>
      <c r="Y9" s="893">
        <v>3002</v>
      </c>
      <c r="Z9" s="894">
        <v>2955</v>
      </c>
      <c r="AA9" s="894">
        <v>3005</v>
      </c>
      <c r="AB9" s="894">
        <v>3064</v>
      </c>
      <c r="AC9" s="895">
        <v>3064</v>
      </c>
      <c r="AD9" s="895">
        <v>3064</v>
      </c>
      <c r="AE9" s="895">
        <v>3064</v>
      </c>
      <c r="AF9" s="313">
        <f t="shared" si="3"/>
        <v>85.53880513679508</v>
      </c>
      <c r="AG9" s="104" t="s">
        <v>60</v>
      </c>
    </row>
    <row r="10" spans="1:33" ht="12.75" customHeight="1">
      <c r="A10" s="114"/>
      <c r="B10" s="133" t="s">
        <v>101</v>
      </c>
      <c r="C10" s="896">
        <v>4196</v>
      </c>
      <c r="D10" s="879">
        <v>4341</v>
      </c>
      <c r="E10" s="879">
        <v>4299</v>
      </c>
      <c r="F10" s="879">
        <v>4294</v>
      </c>
      <c r="G10" s="879">
        <v>4293</v>
      </c>
      <c r="H10" s="879">
        <v>4292</v>
      </c>
      <c r="I10" s="879">
        <v>4090</v>
      </c>
      <c r="J10" s="879">
        <v>4090</v>
      </c>
      <c r="K10" s="879">
        <v>4320</v>
      </c>
      <c r="L10" s="879">
        <v>4320</v>
      </c>
      <c r="M10" s="879">
        <v>4318</v>
      </c>
      <c r="N10" s="271">
        <v>4316</v>
      </c>
      <c r="O10" s="271">
        <v>4259</v>
      </c>
      <c r="P10" s="271">
        <v>4154</v>
      </c>
      <c r="Q10" s="271">
        <v>4146</v>
      </c>
      <c r="R10" s="271">
        <v>4143</v>
      </c>
      <c r="S10" s="271">
        <v>4144</v>
      </c>
      <c r="T10" s="271">
        <v>4150</v>
      </c>
      <c r="U10" s="271">
        <v>4097</v>
      </c>
      <c r="V10" s="271">
        <v>4072</v>
      </c>
      <c r="W10" s="271">
        <v>4070</v>
      </c>
      <c r="X10" s="271">
        <v>4032</v>
      </c>
      <c r="Y10" s="896">
        <v>2806</v>
      </c>
      <c r="Z10" s="879">
        <v>2827</v>
      </c>
      <c r="AA10" s="879">
        <v>2833</v>
      </c>
      <c r="AB10" s="879">
        <v>2785</v>
      </c>
      <c r="AC10" s="879">
        <v>2862</v>
      </c>
      <c r="AD10" s="879">
        <v>2862</v>
      </c>
      <c r="AE10" s="879">
        <v>2869</v>
      </c>
      <c r="AF10" s="176">
        <f t="shared" si="3"/>
        <v>71.15575396825396</v>
      </c>
      <c r="AG10" s="133" t="s">
        <v>101</v>
      </c>
    </row>
    <row r="11" spans="1:33" ht="12.75" customHeight="1">
      <c r="A11" s="114"/>
      <c r="B11" s="102" t="s">
        <v>61</v>
      </c>
      <c r="C11" s="897"/>
      <c r="D11" s="881"/>
      <c r="E11" s="881"/>
      <c r="F11" s="881">
        <v>9430</v>
      </c>
      <c r="G11" s="881">
        <v>9430</v>
      </c>
      <c r="H11" s="881">
        <v>9430</v>
      </c>
      <c r="I11" s="881">
        <v>9430</v>
      </c>
      <c r="J11" s="881">
        <v>9444</v>
      </c>
      <c r="K11" s="881">
        <v>9444</v>
      </c>
      <c r="L11" s="881">
        <v>9523</v>
      </c>
      <c r="M11" s="881">
        <v>9600</v>
      </c>
      <c r="N11" s="881">
        <v>9602</v>
      </c>
      <c r="O11" s="881">
        <v>9612</v>
      </c>
      <c r="P11" s="268">
        <v>9614</v>
      </c>
      <c r="Q11" s="881">
        <v>9597</v>
      </c>
      <c r="R11" s="268">
        <v>9588</v>
      </c>
      <c r="S11" s="268">
        <v>9486</v>
      </c>
      <c r="T11" s="268">
        <v>9477</v>
      </c>
      <c r="U11" s="268">
        <v>9468</v>
      </c>
      <c r="V11" s="268">
        <v>9470</v>
      </c>
      <c r="W11" s="268">
        <v>9469</v>
      </c>
      <c r="X11" s="268">
        <v>9459</v>
      </c>
      <c r="Y11" s="893">
        <v>3060</v>
      </c>
      <c r="Z11" s="894">
        <v>3078</v>
      </c>
      <c r="AA11" s="894">
        <v>3152</v>
      </c>
      <c r="AB11" s="894">
        <v>3210</v>
      </c>
      <c r="AC11" s="894">
        <v>3208</v>
      </c>
      <c r="AD11" s="894">
        <v>3217</v>
      </c>
      <c r="AE11" s="894">
        <v>3216</v>
      </c>
      <c r="AF11" s="314">
        <f t="shared" si="3"/>
        <v>33.99936568347606</v>
      </c>
      <c r="AG11" s="102" t="s">
        <v>61</v>
      </c>
    </row>
    <row r="12" spans="1:33" ht="12.75" customHeight="1">
      <c r="A12" s="114"/>
      <c r="B12" s="133" t="s">
        <v>14</v>
      </c>
      <c r="C12" s="896">
        <v>2352</v>
      </c>
      <c r="D12" s="879">
        <v>2015</v>
      </c>
      <c r="E12" s="879">
        <v>2838</v>
      </c>
      <c r="F12" s="879">
        <v>2863</v>
      </c>
      <c r="G12" s="879">
        <v>2863</v>
      </c>
      <c r="H12" s="879">
        <v>2762</v>
      </c>
      <c r="I12" s="879">
        <v>2779</v>
      </c>
      <c r="J12" s="879">
        <v>2775</v>
      </c>
      <c r="K12" s="879">
        <v>2787</v>
      </c>
      <c r="L12" s="879">
        <v>2787</v>
      </c>
      <c r="M12" s="879">
        <v>2787</v>
      </c>
      <c r="N12" s="879">
        <v>2787</v>
      </c>
      <c r="O12" s="879">
        <v>2646</v>
      </c>
      <c r="P12" s="271">
        <v>2646</v>
      </c>
      <c r="Q12" s="271">
        <v>2646</v>
      </c>
      <c r="R12" s="271">
        <v>2606</v>
      </c>
      <c r="S12" s="271">
        <v>2606</v>
      </c>
      <c r="T12" s="271">
        <v>2606</v>
      </c>
      <c r="U12" s="271">
        <v>2606</v>
      </c>
      <c r="V12" s="271">
        <v>2615</v>
      </c>
      <c r="W12" s="271">
        <v>2615</v>
      </c>
      <c r="X12" s="271">
        <v>2615</v>
      </c>
      <c r="Y12" s="896">
        <v>619</v>
      </c>
      <c r="Z12" s="879">
        <v>621</v>
      </c>
      <c r="AA12" s="879">
        <v>621</v>
      </c>
      <c r="AB12" s="879">
        <f>642-21</f>
        <v>621</v>
      </c>
      <c r="AC12" s="879">
        <v>621</v>
      </c>
      <c r="AD12" s="879">
        <f>642-21</f>
        <v>621</v>
      </c>
      <c r="AE12" s="879">
        <v>621</v>
      </c>
      <c r="AF12" s="176">
        <f t="shared" si="3"/>
        <v>23.747609942638622</v>
      </c>
      <c r="AG12" s="133" t="s">
        <v>14</v>
      </c>
    </row>
    <row r="13" spans="1:33" ht="12.75" customHeight="1">
      <c r="A13" s="114"/>
      <c r="B13" s="102" t="s">
        <v>63</v>
      </c>
      <c r="C13" s="897">
        <v>43777</v>
      </c>
      <c r="D13" s="881">
        <v>42765</v>
      </c>
      <c r="E13" s="881">
        <v>40981</v>
      </c>
      <c r="F13" s="881">
        <v>41718</v>
      </c>
      <c r="G13" s="881">
        <v>40826</v>
      </c>
      <c r="H13" s="881">
        <v>38450</v>
      </c>
      <c r="I13" s="881">
        <v>38126</v>
      </c>
      <c r="J13" s="881">
        <v>37525</v>
      </c>
      <c r="K13" s="881">
        <v>36588</v>
      </c>
      <c r="L13" s="881">
        <v>35986</v>
      </c>
      <c r="M13" s="881">
        <v>35814</v>
      </c>
      <c r="N13" s="881">
        <v>36054</v>
      </c>
      <c r="O13" s="881">
        <v>34732</v>
      </c>
      <c r="P13" s="268">
        <v>34221</v>
      </c>
      <c r="Q13" s="881">
        <v>34122</v>
      </c>
      <c r="R13" s="268">
        <v>33890</v>
      </c>
      <c r="S13" s="268">
        <v>33855</v>
      </c>
      <c r="T13" s="268">
        <v>33714</v>
      </c>
      <c r="U13" s="268">
        <v>33707</v>
      </c>
      <c r="V13" s="268">
        <v>33576</v>
      </c>
      <c r="W13" s="268">
        <v>33509</v>
      </c>
      <c r="X13" s="268">
        <v>33446</v>
      </c>
      <c r="Y13" s="893">
        <v>19544</v>
      </c>
      <c r="Z13" s="894">
        <v>19645</v>
      </c>
      <c r="AA13" s="894">
        <v>19701</v>
      </c>
      <c r="AB13" s="894">
        <v>19819</v>
      </c>
      <c r="AC13" s="894">
        <v>19826</v>
      </c>
      <c r="AD13" s="894">
        <v>19830</v>
      </c>
      <c r="AE13" s="894">
        <v>19876</v>
      </c>
      <c r="AF13" s="314">
        <f t="shared" si="3"/>
        <v>59.427136279375716</v>
      </c>
      <c r="AG13" s="102" t="s">
        <v>63</v>
      </c>
    </row>
    <row r="14" spans="1:33" ht="12.75" customHeight="1">
      <c r="A14" s="114"/>
      <c r="B14" s="133" t="s">
        <v>64</v>
      </c>
      <c r="C14" s="896">
        <v>1227</v>
      </c>
      <c r="D14" s="879">
        <v>993</v>
      </c>
      <c r="E14" s="879">
        <v>1026</v>
      </c>
      <c r="F14" s="879">
        <v>1021</v>
      </c>
      <c r="G14" s="879">
        <v>1021</v>
      </c>
      <c r="H14" s="879">
        <v>966</v>
      </c>
      <c r="I14" s="879">
        <v>966</v>
      </c>
      <c r="J14" s="879">
        <v>968</v>
      </c>
      <c r="K14" s="879">
        <v>968</v>
      </c>
      <c r="L14" s="879">
        <v>967</v>
      </c>
      <c r="M14" s="879">
        <v>963</v>
      </c>
      <c r="N14" s="879">
        <v>967</v>
      </c>
      <c r="O14" s="879">
        <v>971</v>
      </c>
      <c r="P14" s="271">
        <v>968</v>
      </c>
      <c r="Q14" s="879">
        <v>968</v>
      </c>
      <c r="R14" s="271">
        <v>816</v>
      </c>
      <c r="S14" s="271">
        <v>919</v>
      </c>
      <c r="T14" s="898">
        <v>1539</v>
      </c>
      <c r="U14" s="271">
        <v>1540</v>
      </c>
      <c r="V14" s="271">
        <v>1540</v>
      </c>
      <c r="W14" s="271">
        <v>1540</v>
      </c>
      <c r="X14" s="271">
        <v>1510</v>
      </c>
      <c r="Y14" s="896">
        <v>131</v>
      </c>
      <c r="Z14" s="879">
        <v>131</v>
      </c>
      <c r="AA14" s="879">
        <v>132</v>
      </c>
      <c r="AB14" s="879">
        <v>132</v>
      </c>
      <c r="AC14" s="879">
        <v>132</v>
      </c>
      <c r="AD14" s="879">
        <v>132</v>
      </c>
      <c r="AE14" s="879">
        <v>132</v>
      </c>
      <c r="AF14" s="315">
        <f t="shared" si="3"/>
        <v>8.741721854304636</v>
      </c>
      <c r="AG14" s="133" t="s">
        <v>64</v>
      </c>
    </row>
    <row r="15" spans="1:33" ht="12.75" customHeight="1">
      <c r="A15" s="114"/>
      <c r="B15" s="102" t="s">
        <v>68</v>
      </c>
      <c r="C15" s="897">
        <v>2189</v>
      </c>
      <c r="D15" s="881">
        <v>1987</v>
      </c>
      <c r="E15" s="881">
        <v>1944</v>
      </c>
      <c r="F15" s="881">
        <v>1954</v>
      </c>
      <c r="G15" s="881">
        <v>1954</v>
      </c>
      <c r="H15" s="881">
        <v>1945</v>
      </c>
      <c r="I15" s="881">
        <v>1909</v>
      </c>
      <c r="J15" s="881">
        <v>1909</v>
      </c>
      <c r="K15" s="881">
        <v>1919</v>
      </c>
      <c r="L15" s="881">
        <v>1919</v>
      </c>
      <c r="M15" s="881">
        <v>1919</v>
      </c>
      <c r="N15" s="881">
        <v>1919</v>
      </c>
      <c r="O15" s="881">
        <v>1919</v>
      </c>
      <c r="P15" s="268">
        <v>1919</v>
      </c>
      <c r="Q15" s="881">
        <v>1919</v>
      </c>
      <c r="R15" s="268">
        <v>1919</v>
      </c>
      <c r="S15" s="268">
        <v>1919</v>
      </c>
      <c r="T15" s="268">
        <v>1919</v>
      </c>
      <c r="U15" s="268">
        <v>1919</v>
      </c>
      <c r="V15" s="268">
        <v>1919</v>
      </c>
      <c r="W15" s="268">
        <v>1919</v>
      </c>
      <c r="X15" s="268">
        <v>1919</v>
      </c>
      <c r="Y15" s="893">
        <v>52</v>
      </c>
      <c r="Z15" s="894">
        <v>52</v>
      </c>
      <c r="AA15" s="894">
        <v>52</v>
      </c>
      <c r="AB15" s="894">
        <v>52</v>
      </c>
      <c r="AC15" s="894">
        <v>52</v>
      </c>
      <c r="AD15" s="894">
        <v>52</v>
      </c>
      <c r="AE15" s="894">
        <v>52</v>
      </c>
      <c r="AF15" s="314">
        <f t="shared" si="3"/>
        <v>2.709744658676394</v>
      </c>
      <c r="AG15" s="102" t="s">
        <v>68</v>
      </c>
    </row>
    <row r="16" spans="1:33" ht="12.75" customHeight="1">
      <c r="A16" s="114"/>
      <c r="B16" s="133" t="s">
        <v>15</v>
      </c>
      <c r="C16" s="896">
        <v>2602</v>
      </c>
      <c r="D16" s="879">
        <v>2461</v>
      </c>
      <c r="E16" s="879">
        <v>2484</v>
      </c>
      <c r="F16" s="879">
        <v>2474</v>
      </c>
      <c r="G16" s="879">
        <v>2474</v>
      </c>
      <c r="H16" s="879">
        <v>2503</v>
      </c>
      <c r="I16" s="879">
        <v>2299</v>
      </c>
      <c r="J16" s="879">
        <v>2299</v>
      </c>
      <c r="K16" s="879">
        <v>2385</v>
      </c>
      <c r="L16" s="879">
        <v>2377</v>
      </c>
      <c r="M16" s="879">
        <v>2383</v>
      </c>
      <c r="N16" s="879">
        <v>2414</v>
      </c>
      <c r="O16" s="879">
        <v>2449</v>
      </c>
      <c r="P16" s="271">
        <v>2576</v>
      </c>
      <c r="Q16" s="879">
        <v>2509</v>
      </c>
      <c r="R16" s="271">
        <v>2551</v>
      </c>
      <c r="S16" s="271">
        <v>2552</v>
      </c>
      <c r="T16" s="271">
        <v>2552</v>
      </c>
      <c r="U16" s="271">
        <v>2552</v>
      </c>
      <c r="V16" s="271">
        <v>2554</v>
      </c>
      <c r="W16" s="271">
        <v>2554</v>
      </c>
      <c r="X16" s="271">
        <v>2265</v>
      </c>
      <c r="Y16" s="896">
        <v>199</v>
      </c>
      <c r="Z16" s="879">
        <v>264</v>
      </c>
      <c r="AA16" s="879">
        <v>264</v>
      </c>
      <c r="AB16" s="879">
        <v>368</v>
      </c>
      <c r="AC16" s="879">
        <v>438</v>
      </c>
      <c r="AD16" s="879">
        <v>438</v>
      </c>
      <c r="AE16" s="879">
        <v>437</v>
      </c>
      <c r="AF16" s="315">
        <f t="shared" si="3"/>
        <v>19.293598233995585</v>
      </c>
      <c r="AG16" s="133" t="s">
        <v>15</v>
      </c>
    </row>
    <row r="17" spans="1:33" ht="12.75" customHeight="1">
      <c r="A17" s="114"/>
      <c r="B17" s="102" t="s">
        <v>66</v>
      </c>
      <c r="C17" s="897">
        <v>15850</v>
      </c>
      <c r="D17" s="881">
        <v>15724</v>
      </c>
      <c r="E17" s="899">
        <v>14539</v>
      </c>
      <c r="F17" s="881">
        <f>6717+7591</f>
        <v>14308</v>
      </c>
      <c r="G17" s="881">
        <f>6717+7564</f>
        <v>14281</v>
      </c>
      <c r="H17" s="881">
        <f>6654+7654</f>
        <v>14308</v>
      </c>
      <c r="I17" s="881">
        <f>6575+7714</f>
        <v>14289</v>
      </c>
      <c r="J17" s="881">
        <f>6571+7790</f>
        <v>14361</v>
      </c>
      <c r="K17" s="881">
        <f>6559+7788</f>
        <v>14347</v>
      </c>
      <c r="L17" s="881">
        <f>6559+7788</f>
        <v>14347</v>
      </c>
      <c r="M17" s="881">
        <f>6499+7927</f>
        <v>14426</v>
      </c>
      <c r="N17" s="881">
        <f>6432+8477</f>
        <v>14909</v>
      </c>
      <c r="O17" s="881">
        <f>6447+8338</f>
        <v>14785</v>
      </c>
      <c r="P17" s="268">
        <f>6537+8478</f>
        <v>15015</v>
      </c>
      <c r="Q17" s="881">
        <f>6486+8726</f>
        <v>15212</v>
      </c>
      <c r="R17" s="268">
        <f>6455+9099</f>
        <v>15554</v>
      </c>
      <c r="S17" s="268">
        <f>6434+9116</f>
        <v>15550</v>
      </c>
      <c r="T17" s="268">
        <f>6394+8936</f>
        <v>15330</v>
      </c>
      <c r="U17" s="268">
        <f>6398+9439</f>
        <v>15837</v>
      </c>
      <c r="V17" s="268">
        <f>15932</f>
        <v>15932</v>
      </c>
      <c r="W17" s="268">
        <f>6268+9654</f>
        <v>15922</v>
      </c>
      <c r="X17" s="268">
        <f>9768+6169</f>
        <v>15937</v>
      </c>
      <c r="Y17" s="893">
        <f>9099</f>
        <v>9099</v>
      </c>
      <c r="Z17" s="894">
        <v>9116</v>
      </c>
      <c r="AA17" s="894">
        <v>8936</v>
      </c>
      <c r="AB17" s="894">
        <v>9439</v>
      </c>
      <c r="AC17" s="894">
        <v>9615</v>
      </c>
      <c r="AD17" s="894">
        <v>9654</v>
      </c>
      <c r="AE17" s="894">
        <v>9768</v>
      </c>
      <c r="AF17" s="314">
        <f t="shared" si="3"/>
        <v>61.29133463010604</v>
      </c>
      <c r="AG17" s="102" t="s">
        <v>66</v>
      </c>
    </row>
    <row r="18" spans="1:33" ht="12.75" customHeight="1">
      <c r="A18" s="114"/>
      <c r="B18" s="133" t="s">
        <v>67</v>
      </c>
      <c r="C18" s="896">
        <v>37582</v>
      </c>
      <c r="D18" s="879">
        <v>34362</v>
      </c>
      <c r="E18" s="879">
        <v>34070</v>
      </c>
      <c r="F18" s="879">
        <v>31939</v>
      </c>
      <c r="G18" s="879">
        <v>31852</v>
      </c>
      <c r="H18" s="879">
        <v>31821</v>
      </c>
      <c r="I18" s="879">
        <v>31735</v>
      </c>
      <c r="J18" s="879">
        <v>29113</v>
      </c>
      <c r="K18" s="879">
        <v>29272</v>
      </c>
      <c r="L18" s="879">
        <v>29445</v>
      </c>
      <c r="M18" s="879">
        <v>29352</v>
      </c>
      <c r="N18" s="879">
        <v>29269</v>
      </c>
      <c r="O18" s="879">
        <v>29246</v>
      </c>
      <c r="P18" s="271">
        <v>29286</v>
      </c>
      <c r="Q18" s="879">
        <v>29463</v>
      </c>
      <c r="R18" s="271">
        <v>29918</v>
      </c>
      <c r="S18" s="271">
        <v>29901</v>
      </c>
      <c r="T18" s="271">
        <v>29903</v>
      </c>
      <c r="U18" s="271">
        <v>29871</v>
      </c>
      <c r="V18" s="271">
        <v>30404</v>
      </c>
      <c r="W18" s="271">
        <v>30581</v>
      </c>
      <c r="X18" s="865">
        <v>30581</v>
      </c>
      <c r="Y18" s="896">
        <v>15133</v>
      </c>
      <c r="Z18" s="879">
        <v>15401</v>
      </c>
      <c r="AA18" s="879">
        <v>15463</v>
      </c>
      <c r="AB18" s="879">
        <v>15635</v>
      </c>
      <c r="AC18" s="879">
        <f>2036+13701</f>
        <v>15737</v>
      </c>
      <c r="AD18" s="879">
        <f>2036+14547</f>
        <v>16583</v>
      </c>
      <c r="AE18" s="900">
        <v>16583</v>
      </c>
      <c r="AF18" s="901">
        <f t="shared" si="3"/>
        <v>54.22648049442464</v>
      </c>
      <c r="AG18" s="133" t="s">
        <v>67</v>
      </c>
    </row>
    <row r="19" spans="1:33" ht="12.75" customHeight="1">
      <c r="A19" s="114"/>
      <c r="B19" s="102" t="s">
        <v>148</v>
      </c>
      <c r="C19" s="897">
        <v>2411</v>
      </c>
      <c r="D19" s="881">
        <v>2437</v>
      </c>
      <c r="E19" s="881">
        <v>2429</v>
      </c>
      <c r="F19" s="881">
        <v>2296</v>
      </c>
      <c r="G19" s="881">
        <v>2726</v>
      </c>
      <c r="H19" s="881">
        <v>2726</v>
      </c>
      <c r="I19" s="881">
        <v>2726</v>
      </c>
      <c r="J19" s="881">
        <v>2726</v>
      </c>
      <c r="K19" s="881">
        <v>2726</v>
      </c>
      <c r="L19" s="881">
        <v>2726</v>
      </c>
      <c r="M19" s="881">
        <v>2726</v>
      </c>
      <c r="N19" s="881">
        <v>2726</v>
      </c>
      <c r="O19" s="881">
        <v>2726</v>
      </c>
      <c r="P19" s="268">
        <v>2726</v>
      </c>
      <c r="Q19" s="881">
        <v>2722</v>
      </c>
      <c r="R19" s="268">
        <v>2722</v>
      </c>
      <c r="S19" s="268">
        <v>2722</v>
      </c>
      <c r="T19" s="268">
        <v>2722</v>
      </c>
      <c r="U19" s="268">
        <v>2722</v>
      </c>
      <c r="V19" s="268">
        <v>2722</v>
      </c>
      <c r="W19" s="268">
        <v>2722</v>
      </c>
      <c r="X19" s="268">
        <v>2722</v>
      </c>
      <c r="Y19" s="897">
        <v>980</v>
      </c>
      <c r="Z19" s="881">
        <v>985</v>
      </c>
      <c r="AA19" s="881">
        <v>984</v>
      </c>
      <c r="AB19" s="881">
        <v>984</v>
      </c>
      <c r="AC19" s="881">
        <v>984</v>
      </c>
      <c r="AD19" s="881">
        <v>984</v>
      </c>
      <c r="AE19" s="881">
        <v>985</v>
      </c>
      <c r="AF19" s="314">
        <f t="shared" si="3"/>
        <v>36.18662747979427</v>
      </c>
      <c r="AG19" s="102" t="s">
        <v>148</v>
      </c>
    </row>
    <row r="20" spans="1:33" ht="12.75" customHeight="1">
      <c r="A20" s="114"/>
      <c r="B20" s="133" t="s">
        <v>69</v>
      </c>
      <c r="C20" s="873">
        <v>16073</v>
      </c>
      <c r="D20" s="874">
        <v>16138</v>
      </c>
      <c r="E20" s="874">
        <v>16066</v>
      </c>
      <c r="F20" s="874">
        <v>16003</v>
      </c>
      <c r="G20" s="874">
        <v>16014</v>
      </c>
      <c r="H20" s="874">
        <v>16030</v>
      </c>
      <c r="I20" s="874">
        <v>16080</v>
      </c>
      <c r="J20" s="874">
        <v>16092</v>
      </c>
      <c r="K20" s="874">
        <v>16187</v>
      </c>
      <c r="L20" s="874">
        <v>16357</v>
      </c>
      <c r="M20" s="874">
        <v>16307</v>
      </c>
      <c r="N20" s="874">
        <v>16287</v>
      </c>
      <c r="O20" s="874">
        <v>16236</v>
      </c>
      <c r="P20" s="874">
        <f>320+16225</f>
        <v>16545</v>
      </c>
      <c r="Q20" s="874">
        <f>16295+332</f>
        <v>16627</v>
      </c>
      <c r="R20" s="874">
        <f>16335+332</f>
        <v>16667</v>
      </c>
      <c r="S20" s="874">
        <v>16861</v>
      </c>
      <c r="T20" s="874">
        <f>318+16686</f>
        <v>17004</v>
      </c>
      <c r="U20" s="874">
        <f>318+16704</f>
        <v>17022</v>
      </c>
      <c r="V20" s="874">
        <f>16727+318</f>
        <v>17045</v>
      </c>
      <c r="W20" s="874">
        <v>17060</v>
      </c>
      <c r="X20" s="874">
        <f>16752+318</f>
        <v>17070</v>
      </c>
      <c r="Y20" s="873">
        <f>11531+200</f>
        <v>11731</v>
      </c>
      <c r="Z20" s="874">
        <v>11927</v>
      </c>
      <c r="AA20" s="874">
        <f>195+11887</f>
        <v>12082</v>
      </c>
      <c r="AB20" s="874">
        <f>11906+122</f>
        <v>12028</v>
      </c>
      <c r="AC20" s="874">
        <f>11925+195</f>
        <v>12120</v>
      </c>
      <c r="AD20" s="874">
        <f>11931+195</f>
        <v>12126</v>
      </c>
      <c r="AE20" s="874">
        <f>11969+195</f>
        <v>12164</v>
      </c>
      <c r="AF20" s="316">
        <f t="shared" si="3"/>
        <v>71.25951962507322</v>
      </c>
      <c r="AG20" s="133" t="s">
        <v>69</v>
      </c>
    </row>
    <row r="21" spans="1:33" ht="12.75" customHeight="1">
      <c r="A21" s="114"/>
      <c r="B21" s="102" t="s">
        <v>71</v>
      </c>
      <c r="C21" s="267" t="s">
        <v>146</v>
      </c>
      <c r="D21" s="268" t="s">
        <v>146</v>
      </c>
      <c r="E21" s="268" t="s">
        <v>146</v>
      </c>
      <c r="F21" s="268" t="s">
        <v>146</v>
      </c>
      <c r="G21" s="268" t="s">
        <v>146</v>
      </c>
      <c r="H21" s="268" t="s">
        <v>146</v>
      </c>
      <c r="I21" s="268" t="s">
        <v>146</v>
      </c>
      <c r="J21" s="268" t="s">
        <v>146</v>
      </c>
      <c r="K21" s="268" t="s">
        <v>146</v>
      </c>
      <c r="L21" s="268" t="s">
        <v>146</v>
      </c>
      <c r="M21" s="268" t="s">
        <v>146</v>
      </c>
      <c r="N21" s="268" t="s">
        <v>146</v>
      </c>
      <c r="O21" s="268" t="s">
        <v>146</v>
      </c>
      <c r="P21" s="268" t="s">
        <v>146</v>
      </c>
      <c r="Q21" s="268" t="s">
        <v>146</v>
      </c>
      <c r="R21" s="268" t="s">
        <v>146</v>
      </c>
      <c r="S21" s="268" t="s">
        <v>146</v>
      </c>
      <c r="T21" s="268" t="s">
        <v>146</v>
      </c>
      <c r="U21" s="268" t="s">
        <v>146</v>
      </c>
      <c r="V21" s="268" t="s">
        <v>146</v>
      </c>
      <c r="W21" s="268" t="s">
        <v>146</v>
      </c>
      <c r="X21" s="268" t="s">
        <v>146</v>
      </c>
      <c r="Y21" s="902" t="s">
        <v>146</v>
      </c>
      <c r="Z21" s="903" t="s">
        <v>146</v>
      </c>
      <c r="AA21" s="903" t="s">
        <v>146</v>
      </c>
      <c r="AB21" s="903" t="s">
        <v>146</v>
      </c>
      <c r="AC21" s="903" t="s">
        <v>146</v>
      </c>
      <c r="AD21" s="903" t="s">
        <v>146</v>
      </c>
      <c r="AE21" s="903" t="s">
        <v>146</v>
      </c>
      <c r="AF21" s="177" t="s">
        <v>146</v>
      </c>
      <c r="AG21" s="102" t="s">
        <v>71</v>
      </c>
    </row>
    <row r="22" spans="1:33" ht="12.75" customHeight="1">
      <c r="A22" s="114"/>
      <c r="B22" s="133" t="s">
        <v>72</v>
      </c>
      <c r="C22" s="896">
        <v>2606</v>
      </c>
      <c r="D22" s="879">
        <v>2384</v>
      </c>
      <c r="E22" s="879">
        <v>2397</v>
      </c>
      <c r="F22" s="879">
        <v>2413</v>
      </c>
      <c r="G22" s="879">
        <v>2413</v>
      </c>
      <c r="H22" s="879">
        <v>2413</v>
      </c>
      <c r="I22" s="879">
        <v>2413</v>
      </c>
      <c r="J22" s="879">
        <v>2413</v>
      </c>
      <c r="K22" s="879">
        <v>2331</v>
      </c>
      <c r="L22" s="879">
        <v>2305</v>
      </c>
      <c r="M22" s="879">
        <v>2270</v>
      </c>
      <c r="N22" s="879">
        <v>2270</v>
      </c>
      <c r="O22" s="879">
        <v>2270</v>
      </c>
      <c r="P22" s="271">
        <v>2270</v>
      </c>
      <c r="Q22" s="879">
        <v>2269</v>
      </c>
      <c r="R22" s="271">
        <v>2265</v>
      </c>
      <c r="S22" s="271">
        <v>2263</v>
      </c>
      <c r="T22" s="271">
        <v>1884</v>
      </c>
      <c r="U22" s="271">
        <v>1897</v>
      </c>
      <c r="V22" s="271">
        <v>1865</v>
      </c>
      <c r="W22" s="271">
        <v>1860</v>
      </c>
      <c r="X22" s="271">
        <v>1859</v>
      </c>
      <c r="Y22" s="896">
        <v>257</v>
      </c>
      <c r="Z22" s="879">
        <v>257</v>
      </c>
      <c r="AA22" s="879">
        <v>257</v>
      </c>
      <c r="AB22" s="879">
        <v>257</v>
      </c>
      <c r="AC22" s="879">
        <v>257</v>
      </c>
      <c r="AD22" s="879">
        <v>250</v>
      </c>
      <c r="AE22" s="879">
        <v>250</v>
      </c>
      <c r="AF22" s="315">
        <f t="shared" si="3"/>
        <v>13.448090371167295</v>
      </c>
      <c r="AG22" s="133" t="s">
        <v>72</v>
      </c>
    </row>
    <row r="23" spans="1:33" ht="12.75" customHeight="1">
      <c r="A23" s="114"/>
      <c r="B23" s="102" t="s">
        <v>73</v>
      </c>
      <c r="C23" s="897">
        <v>2015</v>
      </c>
      <c r="D23" s="881">
        <v>2008</v>
      </c>
      <c r="E23" s="881">
        <v>2007</v>
      </c>
      <c r="F23" s="881">
        <v>2002</v>
      </c>
      <c r="G23" s="881">
        <v>1997</v>
      </c>
      <c r="H23" s="881">
        <v>1998</v>
      </c>
      <c r="I23" s="881">
        <v>1998</v>
      </c>
      <c r="J23" s="881">
        <v>1905</v>
      </c>
      <c r="K23" s="881">
        <v>1905</v>
      </c>
      <c r="L23" s="881">
        <v>1696</v>
      </c>
      <c r="M23" s="881">
        <v>1775</v>
      </c>
      <c r="N23" s="881">
        <v>1774</v>
      </c>
      <c r="O23" s="881">
        <v>1782</v>
      </c>
      <c r="P23" s="268">
        <f>1771</f>
        <v>1771</v>
      </c>
      <c r="Q23" s="881">
        <v>1771</v>
      </c>
      <c r="R23" s="268">
        <v>1766</v>
      </c>
      <c r="S23" s="268">
        <v>1765</v>
      </c>
      <c r="T23" s="268">
        <v>1767</v>
      </c>
      <c r="U23" s="268">
        <f>1767</f>
        <v>1767</v>
      </c>
      <c r="V23" s="268">
        <v>1767</v>
      </c>
      <c r="W23" s="268">
        <v>1767</v>
      </c>
      <c r="X23" s="268">
        <v>1767</v>
      </c>
      <c r="Y23" s="893">
        <v>122</v>
      </c>
      <c r="Z23" s="894">
        <v>122</v>
      </c>
      <c r="AA23" s="894">
        <v>122</v>
      </c>
      <c r="AB23" s="894">
        <v>122</v>
      </c>
      <c r="AC23" s="894">
        <v>122</v>
      </c>
      <c r="AD23" s="894">
        <v>122</v>
      </c>
      <c r="AE23" s="894">
        <v>122</v>
      </c>
      <c r="AF23" s="314">
        <f t="shared" si="3"/>
        <v>6.90435766836446</v>
      </c>
      <c r="AG23" s="102" t="s">
        <v>73</v>
      </c>
    </row>
    <row r="24" spans="1:33" ht="12.75" customHeight="1">
      <c r="A24" s="114"/>
      <c r="B24" s="133" t="s">
        <v>76</v>
      </c>
      <c r="C24" s="896">
        <v>271</v>
      </c>
      <c r="D24" s="879">
        <v>270</v>
      </c>
      <c r="E24" s="879">
        <v>271</v>
      </c>
      <c r="F24" s="879">
        <v>275</v>
      </c>
      <c r="G24" s="271">
        <v>274</v>
      </c>
      <c r="H24" s="271">
        <v>274</v>
      </c>
      <c r="I24" s="271">
        <v>274</v>
      </c>
      <c r="J24" s="271">
        <v>274</v>
      </c>
      <c r="K24" s="879">
        <v>274</v>
      </c>
      <c r="L24" s="271">
        <v>274</v>
      </c>
      <c r="M24" s="271">
        <v>274</v>
      </c>
      <c r="N24" s="271">
        <v>275</v>
      </c>
      <c r="O24" s="271">
        <v>275</v>
      </c>
      <c r="P24" s="271">
        <v>275</v>
      </c>
      <c r="Q24" s="879">
        <v>275</v>
      </c>
      <c r="R24" s="271">
        <v>275</v>
      </c>
      <c r="S24" s="271">
        <v>275</v>
      </c>
      <c r="T24" s="271">
        <v>275</v>
      </c>
      <c r="U24" s="271">
        <v>275</v>
      </c>
      <c r="V24" s="271">
        <v>275</v>
      </c>
      <c r="W24" s="271">
        <v>275</v>
      </c>
      <c r="X24" s="271">
        <v>275</v>
      </c>
      <c r="Y24" s="896">
        <v>262</v>
      </c>
      <c r="Z24" s="879">
        <v>262</v>
      </c>
      <c r="AA24" s="879">
        <v>262</v>
      </c>
      <c r="AB24" s="879">
        <v>262</v>
      </c>
      <c r="AC24" s="879">
        <v>262</v>
      </c>
      <c r="AD24" s="879">
        <v>262</v>
      </c>
      <c r="AE24" s="879">
        <v>262</v>
      </c>
      <c r="AF24" s="315">
        <f t="shared" si="3"/>
        <v>95.27272727272728</v>
      </c>
      <c r="AG24" s="133" t="s">
        <v>76</v>
      </c>
    </row>
    <row r="25" spans="1:33" ht="12.75" customHeight="1">
      <c r="A25" s="114"/>
      <c r="B25" s="102" t="s">
        <v>77</v>
      </c>
      <c r="C25" s="272">
        <v>8487</v>
      </c>
      <c r="D25" s="273">
        <v>7836</v>
      </c>
      <c r="E25" s="273">
        <v>7838</v>
      </c>
      <c r="F25" s="273">
        <v>7714</v>
      </c>
      <c r="G25" s="273"/>
      <c r="H25" s="273"/>
      <c r="I25" s="273"/>
      <c r="J25" s="273"/>
      <c r="K25" s="273">
        <v>8005</v>
      </c>
      <c r="L25" s="273">
        <v>7736</v>
      </c>
      <c r="M25" s="273">
        <v>7949</v>
      </c>
      <c r="N25" s="273">
        <v>7950</v>
      </c>
      <c r="O25" s="273">
        <v>7950</v>
      </c>
      <c r="P25" s="273">
        <v>7950</v>
      </c>
      <c r="Q25" s="273">
        <f>7676+284</f>
        <v>7960</v>
      </c>
      <c r="R25" s="273">
        <f>7658+284</f>
        <v>7942</v>
      </c>
      <c r="S25" s="273">
        <v>7892</v>
      </c>
      <c r="T25" s="273">
        <f>284+7608</f>
        <v>7892</v>
      </c>
      <c r="U25" s="273">
        <f>7609+284</f>
        <v>7893</v>
      </c>
      <c r="V25" s="273">
        <f>7397+509</f>
        <v>7906</v>
      </c>
      <c r="W25" s="273">
        <f>7385+492</f>
        <v>7877</v>
      </c>
      <c r="X25" s="273">
        <f>7389+509</f>
        <v>7898</v>
      </c>
      <c r="Y25" s="904">
        <f>2573+220</f>
        <v>2793</v>
      </c>
      <c r="Z25" s="905">
        <v>2848</v>
      </c>
      <c r="AA25" s="905">
        <f>220+2628</f>
        <v>2848</v>
      </c>
      <c r="AB25" s="905">
        <f>2727+220</f>
        <v>2947</v>
      </c>
      <c r="AC25" s="905">
        <f>2679+317</f>
        <v>2996</v>
      </c>
      <c r="AD25" s="905">
        <f>2697+317</f>
        <v>3014</v>
      </c>
      <c r="AE25" s="905">
        <f>313+2697</f>
        <v>3010</v>
      </c>
      <c r="AF25" s="317">
        <f t="shared" si="3"/>
        <v>38.1109141554824</v>
      </c>
      <c r="AG25" s="102" t="s">
        <v>77</v>
      </c>
    </row>
    <row r="26" spans="1:33" ht="12.75" customHeight="1">
      <c r="A26" s="114"/>
      <c r="B26" s="133" t="s">
        <v>78</v>
      </c>
      <c r="C26" s="270" t="s">
        <v>146</v>
      </c>
      <c r="D26" s="271" t="s">
        <v>146</v>
      </c>
      <c r="E26" s="271" t="s">
        <v>146</v>
      </c>
      <c r="F26" s="271" t="s">
        <v>146</v>
      </c>
      <c r="G26" s="271" t="s">
        <v>146</v>
      </c>
      <c r="H26" s="271" t="s">
        <v>146</v>
      </c>
      <c r="I26" s="271" t="s">
        <v>146</v>
      </c>
      <c r="J26" s="271" t="s">
        <v>146</v>
      </c>
      <c r="K26" s="271" t="s">
        <v>146</v>
      </c>
      <c r="L26" s="271" t="s">
        <v>146</v>
      </c>
      <c r="M26" s="271" t="s">
        <v>146</v>
      </c>
      <c r="N26" s="271" t="s">
        <v>146</v>
      </c>
      <c r="O26" s="271" t="s">
        <v>146</v>
      </c>
      <c r="P26" s="271" t="s">
        <v>146</v>
      </c>
      <c r="Q26" s="271" t="s">
        <v>146</v>
      </c>
      <c r="R26" s="271" t="s">
        <v>146</v>
      </c>
      <c r="S26" s="271" t="s">
        <v>146</v>
      </c>
      <c r="T26" s="271" t="s">
        <v>146</v>
      </c>
      <c r="U26" s="271" t="s">
        <v>146</v>
      </c>
      <c r="V26" s="271" t="s">
        <v>146</v>
      </c>
      <c r="W26" s="271" t="s">
        <v>146</v>
      </c>
      <c r="X26" s="271" t="s">
        <v>146</v>
      </c>
      <c r="Y26" s="270" t="s">
        <v>146</v>
      </c>
      <c r="Z26" s="271" t="s">
        <v>146</v>
      </c>
      <c r="AA26" s="271" t="s">
        <v>146</v>
      </c>
      <c r="AB26" s="271" t="s">
        <v>146</v>
      </c>
      <c r="AC26" s="271" t="s">
        <v>146</v>
      </c>
      <c r="AD26" s="271" t="s">
        <v>146</v>
      </c>
      <c r="AE26" s="271" t="s">
        <v>146</v>
      </c>
      <c r="AF26" s="176" t="s">
        <v>146</v>
      </c>
      <c r="AG26" s="133" t="s">
        <v>78</v>
      </c>
    </row>
    <row r="27" spans="1:33" ht="12.75" customHeight="1">
      <c r="A27" s="114"/>
      <c r="B27" s="102" t="s">
        <v>16</v>
      </c>
      <c r="C27" s="897">
        <v>3147</v>
      </c>
      <c r="D27" s="881">
        <v>2880</v>
      </c>
      <c r="E27" s="881">
        <v>2798</v>
      </c>
      <c r="F27" s="881">
        <v>2739</v>
      </c>
      <c r="G27" s="881">
        <v>2739</v>
      </c>
      <c r="H27" s="881">
        <v>2805</v>
      </c>
      <c r="I27" s="881">
        <v>2808</v>
      </c>
      <c r="J27" s="881">
        <v>2808</v>
      </c>
      <c r="K27" s="881">
        <v>2802</v>
      </c>
      <c r="L27" s="881">
        <v>2809</v>
      </c>
      <c r="M27" s="881">
        <v>2806</v>
      </c>
      <c r="N27" s="881">
        <v>2811</v>
      </c>
      <c r="O27" s="881">
        <v>2810</v>
      </c>
      <c r="P27" s="268">
        <v>2797</v>
      </c>
      <c r="Q27" s="881">
        <v>2801</v>
      </c>
      <c r="R27" s="268">
        <v>2888</v>
      </c>
      <c r="S27" s="268">
        <v>2896</v>
      </c>
      <c r="T27" s="906">
        <v>3013</v>
      </c>
      <c r="U27" s="906">
        <v>3013</v>
      </c>
      <c r="V27" s="906">
        <v>3013</v>
      </c>
      <c r="W27" s="906">
        <v>3013</v>
      </c>
      <c r="X27" s="906">
        <v>3032</v>
      </c>
      <c r="Y27" s="893">
        <v>2155</v>
      </c>
      <c r="Z27" s="894">
        <v>2155</v>
      </c>
      <c r="AA27" s="894">
        <v>2266</v>
      </c>
      <c r="AB27" s="894">
        <v>2266</v>
      </c>
      <c r="AC27" s="894">
        <v>2266</v>
      </c>
      <c r="AD27" s="894">
        <v>2266</v>
      </c>
      <c r="AE27" s="894">
        <v>2307</v>
      </c>
      <c r="AF27" s="314">
        <f t="shared" si="3"/>
        <v>76.08839050131925</v>
      </c>
      <c r="AG27" s="102" t="s">
        <v>16</v>
      </c>
    </row>
    <row r="28" spans="1:33" ht="12.75" customHeight="1">
      <c r="A28" s="114"/>
      <c r="B28" s="133" t="s">
        <v>81</v>
      </c>
      <c r="C28" s="896">
        <v>5901</v>
      </c>
      <c r="D28" s="879">
        <v>5857</v>
      </c>
      <c r="E28" s="879">
        <v>5624</v>
      </c>
      <c r="F28" s="879">
        <v>5672</v>
      </c>
      <c r="G28" s="879">
        <v>5672</v>
      </c>
      <c r="H28" s="879">
        <v>5672</v>
      </c>
      <c r="I28" s="879">
        <v>5643</v>
      </c>
      <c r="J28" s="879">
        <v>5643</v>
      </c>
      <c r="K28" s="879">
        <v>5665</v>
      </c>
      <c r="L28" s="879">
        <v>5697</v>
      </c>
      <c r="M28" s="879">
        <v>5779</v>
      </c>
      <c r="N28" s="879">
        <v>5787</v>
      </c>
      <c r="O28" s="879">
        <v>5675</v>
      </c>
      <c r="P28" s="271">
        <v>5691</v>
      </c>
      <c r="Q28" s="879">
        <f>5702+25+91</f>
        <v>5818</v>
      </c>
      <c r="R28" s="271">
        <f>5702+91+25</f>
        <v>5818</v>
      </c>
      <c r="S28" s="271">
        <v>5664</v>
      </c>
      <c r="T28" s="271">
        <v>5356</v>
      </c>
      <c r="U28" s="271">
        <v>5039</v>
      </c>
      <c r="V28" s="271">
        <v>5021</v>
      </c>
      <c r="W28" s="271">
        <v>4894</v>
      </c>
      <c r="X28" s="271">
        <v>4894</v>
      </c>
      <c r="Y28" s="896">
        <f>3520+25</f>
        <v>3545</v>
      </c>
      <c r="Z28" s="879">
        <v>3510</v>
      </c>
      <c r="AA28" s="879">
        <v>3518</v>
      </c>
      <c r="AB28" s="879">
        <v>3427</v>
      </c>
      <c r="AC28" s="879">
        <v>3416</v>
      </c>
      <c r="AD28" s="879">
        <v>3468</v>
      </c>
      <c r="AE28" s="879">
        <v>3468</v>
      </c>
      <c r="AF28" s="315">
        <f t="shared" si="3"/>
        <v>70.86228034327749</v>
      </c>
      <c r="AG28" s="133" t="s">
        <v>81</v>
      </c>
    </row>
    <row r="29" spans="1:33" ht="12.75" customHeight="1">
      <c r="A29" s="114"/>
      <c r="B29" s="102" t="s">
        <v>80</v>
      </c>
      <c r="C29" s="897">
        <v>26678</v>
      </c>
      <c r="D29" s="881">
        <v>27181</v>
      </c>
      <c r="E29" s="881">
        <v>26228</v>
      </c>
      <c r="F29" s="881">
        <v>23986</v>
      </c>
      <c r="G29" s="881">
        <v>23420</v>
      </c>
      <c r="H29" s="881">
        <v>23328</v>
      </c>
      <c r="I29" s="881">
        <v>23210</v>
      </c>
      <c r="J29" s="881">
        <v>22891</v>
      </c>
      <c r="K29" s="881">
        <v>22560</v>
      </c>
      <c r="L29" s="881">
        <v>20134</v>
      </c>
      <c r="M29" s="881">
        <v>20223</v>
      </c>
      <c r="N29" s="881">
        <v>20665</v>
      </c>
      <c r="O29" s="881">
        <v>20250</v>
      </c>
      <c r="P29" s="268">
        <v>19507</v>
      </c>
      <c r="Q29" s="881">
        <v>19429</v>
      </c>
      <c r="R29" s="268">
        <v>19419</v>
      </c>
      <c r="S29" s="268">
        <v>19627</v>
      </c>
      <c r="T29" s="268">
        <v>19764</v>
      </c>
      <c r="U29" s="268">
        <v>19702</v>
      </c>
      <c r="V29" s="268">
        <v>19725</v>
      </c>
      <c r="W29" s="268">
        <v>19617</v>
      </c>
      <c r="X29" s="268">
        <v>18959</v>
      </c>
      <c r="Y29" s="893">
        <v>11831</v>
      </c>
      <c r="Z29" s="894">
        <v>11856</v>
      </c>
      <c r="AA29" s="894">
        <v>11891</v>
      </c>
      <c r="AB29" s="894">
        <v>11854</v>
      </c>
      <c r="AC29" s="894">
        <v>11817</v>
      </c>
      <c r="AD29" s="894">
        <v>11860</v>
      </c>
      <c r="AE29" s="894">
        <v>11817</v>
      </c>
      <c r="AF29" s="314">
        <f t="shared" si="3"/>
        <v>62.329236774091456</v>
      </c>
      <c r="AG29" s="102" t="s">
        <v>80</v>
      </c>
    </row>
    <row r="30" spans="1:33" ht="12.75" customHeight="1">
      <c r="A30" s="114"/>
      <c r="B30" s="133" t="s">
        <v>92</v>
      </c>
      <c r="C30" s="896">
        <v>3588</v>
      </c>
      <c r="D30" s="879">
        <v>3609</v>
      </c>
      <c r="E30" s="879">
        <v>3064</v>
      </c>
      <c r="F30" s="879">
        <v>2850</v>
      </c>
      <c r="G30" s="879">
        <v>2850</v>
      </c>
      <c r="H30" s="879">
        <v>2856</v>
      </c>
      <c r="I30" s="879">
        <v>2794</v>
      </c>
      <c r="J30" s="879">
        <v>2813</v>
      </c>
      <c r="K30" s="879">
        <v>2814</v>
      </c>
      <c r="L30" s="879">
        <v>2814</v>
      </c>
      <c r="M30" s="879">
        <v>2818</v>
      </c>
      <c r="N30" s="879">
        <v>2818</v>
      </c>
      <c r="O30" s="879">
        <v>2849</v>
      </c>
      <c r="P30" s="271">
        <v>2844</v>
      </c>
      <c r="Q30" s="879">
        <v>2839</v>
      </c>
      <c r="R30" s="271">
        <v>2838</v>
      </c>
      <c r="S30" s="271">
        <v>2842</v>
      </c>
      <c r="T30" s="271">
        <v>2842</v>
      </c>
      <c r="U30" s="271">
        <v>2842</v>
      </c>
      <c r="V30" s="271">
        <v>2793</v>
      </c>
      <c r="W30" s="271">
        <v>2541</v>
      </c>
      <c r="X30" s="271">
        <v>2544</v>
      </c>
      <c r="Y30" s="896">
        <v>1435</v>
      </c>
      <c r="Z30" s="879">
        <v>1460</v>
      </c>
      <c r="AA30" s="879">
        <v>1460</v>
      </c>
      <c r="AB30" s="879">
        <v>1487</v>
      </c>
      <c r="AC30" s="879">
        <v>1629</v>
      </c>
      <c r="AD30" s="879">
        <v>1630</v>
      </c>
      <c r="AE30" s="879">
        <v>1630</v>
      </c>
      <c r="AF30" s="315">
        <f t="shared" si="3"/>
        <v>64.07232704402516</v>
      </c>
      <c r="AG30" s="133" t="s">
        <v>92</v>
      </c>
    </row>
    <row r="31" spans="1:33" ht="12.75" customHeight="1">
      <c r="A31" s="114"/>
      <c r="B31" s="102" t="s">
        <v>102</v>
      </c>
      <c r="C31" s="897">
        <v>11012</v>
      </c>
      <c r="D31" s="881">
        <v>11110</v>
      </c>
      <c r="E31" s="881">
        <v>11348</v>
      </c>
      <c r="F31" s="881">
        <v>11376</v>
      </c>
      <c r="G31" s="881">
        <v>11385</v>
      </c>
      <c r="H31" s="881">
        <v>11380</v>
      </c>
      <c r="I31" s="881">
        <v>11010</v>
      </c>
      <c r="J31" s="881">
        <v>10981</v>
      </c>
      <c r="K31" s="881">
        <v>11015</v>
      </c>
      <c r="L31" s="881">
        <v>11015</v>
      </c>
      <c r="M31" s="881">
        <v>11002</v>
      </c>
      <c r="N31" s="881">
        <v>11077</v>
      </c>
      <c r="O31" s="881">
        <v>11053</v>
      </c>
      <c r="P31" s="268">
        <v>10948</v>
      </c>
      <c r="Q31" s="881">
        <v>10781</v>
      </c>
      <c r="R31" s="268">
        <v>10777</v>
      </c>
      <c r="S31" s="268">
        <v>10777</v>
      </c>
      <c r="T31" s="268">
        <v>10776</v>
      </c>
      <c r="U31" s="268">
        <v>10777</v>
      </c>
      <c r="V31" s="268">
        <v>10777</v>
      </c>
      <c r="W31" s="268">
        <v>10777</v>
      </c>
      <c r="X31" s="268">
        <v>10768</v>
      </c>
      <c r="Y31" s="893">
        <v>3979</v>
      </c>
      <c r="Z31" s="894">
        <v>3974</v>
      </c>
      <c r="AA31" s="894">
        <v>4002</v>
      </c>
      <c r="AB31" s="894">
        <v>4031</v>
      </c>
      <c r="AC31" s="894">
        <v>4032</v>
      </c>
      <c r="AD31" s="894">
        <v>4032</v>
      </c>
      <c r="AE31" s="894">
        <v>4029</v>
      </c>
      <c r="AF31" s="314">
        <f t="shared" si="3"/>
        <v>37.41641901931649</v>
      </c>
      <c r="AG31" s="102" t="s">
        <v>102</v>
      </c>
    </row>
    <row r="32" spans="1:33" ht="12.75" customHeight="1">
      <c r="A32" s="114"/>
      <c r="B32" s="133" t="s">
        <v>83</v>
      </c>
      <c r="C32" s="896">
        <v>1055</v>
      </c>
      <c r="D32" s="879">
        <v>1058</v>
      </c>
      <c r="E32" s="879">
        <v>1196</v>
      </c>
      <c r="F32" s="271">
        <v>1201</v>
      </c>
      <c r="G32" s="271">
        <v>1201</v>
      </c>
      <c r="H32" s="271">
        <v>1201</v>
      </c>
      <c r="I32" s="271">
        <v>1201</v>
      </c>
      <c r="J32" s="271">
        <v>1201</v>
      </c>
      <c r="K32" s="271">
        <v>1201</v>
      </c>
      <c r="L32" s="271">
        <v>1229</v>
      </c>
      <c r="M32" s="271">
        <v>1229</v>
      </c>
      <c r="N32" s="271">
        <v>1229</v>
      </c>
      <c r="O32" s="271">
        <v>1229</v>
      </c>
      <c r="P32" s="271">
        <v>1228</v>
      </c>
      <c r="Q32" s="271">
        <v>1228</v>
      </c>
      <c r="R32" s="271">
        <v>1228</v>
      </c>
      <c r="S32" s="271">
        <v>1228</v>
      </c>
      <c r="T32" s="271">
        <v>1228</v>
      </c>
      <c r="U32" s="271">
        <v>1228</v>
      </c>
      <c r="V32" s="271">
        <v>1209</v>
      </c>
      <c r="W32" s="271">
        <v>1209</v>
      </c>
      <c r="X32" s="271">
        <v>1209</v>
      </c>
      <c r="Y32" s="896">
        <v>503</v>
      </c>
      <c r="Z32" s="879">
        <v>503</v>
      </c>
      <c r="AA32" s="879">
        <v>503</v>
      </c>
      <c r="AB32" s="879">
        <v>503</v>
      </c>
      <c r="AC32" s="879">
        <v>500</v>
      </c>
      <c r="AD32" s="879">
        <v>500</v>
      </c>
      <c r="AE32" s="879">
        <v>500</v>
      </c>
      <c r="AF32" s="315">
        <f t="shared" si="3"/>
        <v>41.3564929693962</v>
      </c>
      <c r="AG32" s="133" t="s">
        <v>83</v>
      </c>
    </row>
    <row r="33" spans="1:33" ht="12.75" customHeight="1">
      <c r="A33" s="114"/>
      <c r="B33" s="102" t="s">
        <v>85</v>
      </c>
      <c r="C33" s="897"/>
      <c r="D33" s="881"/>
      <c r="E33" s="881">
        <v>3660</v>
      </c>
      <c r="F33" s="881">
        <v>3665</v>
      </c>
      <c r="G33" s="881">
        <v>3673</v>
      </c>
      <c r="H33" s="881">
        <v>3673</v>
      </c>
      <c r="I33" s="881">
        <v>3665</v>
      </c>
      <c r="J33" s="881">
        <v>3665</v>
      </c>
      <c r="K33" s="881">
        <v>3662</v>
      </c>
      <c r="L33" s="881">
        <v>3662</v>
      </c>
      <c r="M33" s="881">
        <v>3657</v>
      </c>
      <c r="N33" s="881">
        <v>3657</v>
      </c>
      <c r="O33" s="881">
        <v>3660</v>
      </c>
      <c r="P33" s="268">
        <v>3658</v>
      </c>
      <c r="Q33" s="881">
        <v>3658</v>
      </c>
      <c r="R33" s="268">
        <v>3629</v>
      </c>
      <c r="S33" s="268">
        <v>3623</v>
      </c>
      <c r="T33" s="268">
        <v>3623</v>
      </c>
      <c r="U33" s="268">
        <v>3622</v>
      </c>
      <c r="V33" s="268">
        <v>3624</v>
      </c>
      <c r="W33" s="268">
        <v>3631</v>
      </c>
      <c r="X33" s="268">
        <v>3631</v>
      </c>
      <c r="Y33" s="893">
        <v>1578</v>
      </c>
      <c r="Z33" s="894">
        <v>1577</v>
      </c>
      <c r="AA33" s="894">
        <v>1577</v>
      </c>
      <c r="AB33" s="894">
        <v>1578</v>
      </c>
      <c r="AC33" s="894">
        <v>1578</v>
      </c>
      <c r="AD33" s="894">
        <v>1586</v>
      </c>
      <c r="AE33" s="894">
        <v>1586</v>
      </c>
      <c r="AF33" s="314">
        <f t="shared" si="3"/>
        <v>43.6794271550537</v>
      </c>
      <c r="AG33" s="102" t="s">
        <v>85</v>
      </c>
    </row>
    <row r="34" spans="1:33" ht="12.75" customHeight="1">
      <c r="A34" s="114"/>
      <c r="B34" s="133" t="s">
        <v>87</v>
      </c>
      <c r="C34" s="896">
        <v>5804</v>
      </c>
      <c r="D34" s="879">
        <v>6075</v>
      </c>
      <c r="E34" s="879">
        <v>5867</v>
      </c>
      <c r="F34" s="879">
        <v>5880</v>
      </c>
      <c r="G34" s="879">
        <v>5859</v>
      </c>
      <c r="H34" s="879">
        <v>5865</v>
      </c>
      <c r="I34" s="879">
        <v>5867</v>
      </c>
      <c r="J34" s="879">
        <v>5836</v>
      </c>
      <c r="K34" s="879">
        <v>5854</v>
      </c>
      <c r="L34" s="879">
        <v>5850</v>
      </c>
      <c r="M34" s="879">
        <v>5850</v>
      </c>
      <c r="N34" s="879">
        <v>5851</v>
      </c>
      <c r="O34" s="879">
        <v>5741</v>
      </c>
      <c r="P34" s="271">
        <v>5732</v>
      </c>
      <c r="Q34" s="879">
        <v>5905</v>
      </c>
      <c r="R34" s="271">
        <v>5899</v>
      </c>
      <c r="S34" s="271">
        <v>5919</v>
      </c>
      <c r="T34" s="271">
        <v>5919</v>
      </c>
      <c r="U34" s="271">
        <v>5919</v>
      </c>
      <c r="V34" s="271">
        <v>5944</v>
      </c>
      <c r="W34" s="271">
        <v>5944</v>
      </c>
      <c r="X34" s="271">
        <v>5944</v>
      </c>
      <c r="Y34" s="896">
        <v>3047</v>
      </c>
      <c r="Z34" s="879">
        <v>3067</v>
      </c>
      <c r="AA34" s="879">
        <v>3067</v>
      </c>
      <c r="AB34" s="879">
        <v>3073</v>
      </c>
      <c r="AC34" s="879">
        <v>3172</v>
      </c>
      <c r="AD34" s="879">
        <v>3172</v>
      </c>
      <c r="AE34" s="879">
        <v>3172</v>
      </c>
      <c r="AF34" s="315">
        <f t="shared" si="3"/>
        <v>53.36473755047106</v>
      </c>
      <c r="AG34" s="133" t="s">
        <v>87</v>
      </c>
    </row>
    <row r="35" spans="1:33" ht="12.75" customHeight="1">
      <c r="A35" s="114"/>
      <c r="B35" s="102" t="s">
        <v>88</v>
      </c>
      <c r="C35" s="897">
        <v>12203</v>
      </c>
      <c r="D35" s="881">
        <v>12006</v>
      </c>
      <c r="E35" s="881">
        <v>11193</v>
      </c>
      <c r="F35" s="881">
        <v>10925</v>
      </c>
      <c r="G35" s="881">
        <v>10964</v>
      </c>
      <c r="H35" s="881">
        <v>10941</v>
      </c>
      <c r="I35" s="881">
        <v>10997</v>
      </c>
      <c r="J35" s="881">
        <v>11044</v>
      </c>
      <c r="K35" s="881">
        <v>11037</v>
      </c>
      <c r="L35" s="881">
        <v>11021</v>
      </c>
      <c r="M35" s="881">
        <v>11095</v>
      </c>
      <c r="N35" s="881">
        <v>11037</v>
      </c>
      <c r="O35" s="881">
        <v>11050</v>
      </c>
      <c r="P35" s="268">
        <v>11017</v>
      </c>
      <c r="Q35" s="881">
        <v>11020</v>
      </c>
      <c r="R35" s="268">
        <v>10972</v>
      </c>
      <c r="S35" s="268">
        <v>11032</v>
      </c>
      <c r="T35" s="268">
        <v>11138</v>
      </c>
      <c r="U35" s="268">
        <v>11160</v>
      </c>
      <c r="V35" s="268">
        <v>11206</v>
      </c>
      <c r="W35" s="268">
        <v>11136</v>
      </c>
      <c r="X35" s="268">
        <v>10957</v>
      </c>
      <c r="Y35" s="897">
        <v>7848</v>
      </c>
      <c r="Z35" s="881">
        <v>7867</v>
      </c>
      <c r="AA35" s="881">
        <v>7963</v>
      </c>
      <c r="AB35" s="881">
        <v>7965</v>
      </c>
      <c r="AC35" s="881">
        <v>8119</v>
      </c>
      <c r="AD35" s="881">
        <v>8194</v>
      </c>
      <c r="AE35" s="881">
        <v>8214</v>
      </c>
      <c r="AF35" s="314">
        <f t="shared" si="3"/>
        <v>74.96577530345898</v>
      </c>
      <c r="AG35" s="102" t="s">
        <v>88</v>
      </c>
    </row>
    <row r="36" spans="1:33" ht="12.75" customHeight="1">
      <c r="A36" s="114"/>
      <c r="B36" s="294" t="s">
        <v>13</v>
      </c>
      <c r="C36" s="907">
        <v>19330</v>
      </c>
      <c r="D36" s="908">
        <v>18030</v>
      </c>
      <c r="E36" s="908">
        <v>16914</v>
      </c>
      <c r="F36" s="908">
        <v>17069</v>
      </c>
      <c r="G36" s="908">
        <v>17066</v>
      </c>
      <c r="H36" s="908">
        <v>17176</v>
      </c>
      <c r="I36" s="908">
        <v>17179</v>
      </c>
      <c r="J36" s="908">
        <v>17064</v>
      </c>
      <c r="K36" s="908">
        <v>17044</v>
      </c>
      <c r="L36" s="908">
        <v>17052</v>
      </c>
      <c r="M36" s="908">
        <v>17052</v>
      </c>
      <c r="N36" s="908">
        <v>17052</v>
      </c>
      <c r="O36" s="908">
        <f>58+340+16116</f>
        <v>16514</v>
      </c>
      <c r="P36" s="504">
        <f>58+340+15810</f>
        <v>16208</v>
      </c>
      <c r="Q36" s="908">
        <f>15795+340+58</f>
        <v>16193</v>
      </c>
      <c r="R36" s="504">
        <f>15814+340+58</f>
        <v>16212</v>
      </c>
      <c r="S36" s="504">
        <f>15814+340+58</f>
        <v>16212</v>
      </c>
      <c r="T36" s="504">
        <f>58+15753+340</f>
        <v>16151</v>
      </c>
      <c r="U36" s="504">
        <f>15777+340+58</f>
        <v>16175</v>
      </c>
      <c r="V36" s="504">
        <f>15738+58+338+274</f>
        <v>16408</v>
      </c>
      <c r="W36" s="504">
        <f>15753+338+274+58</f>
        <v>16423</v>
      </c>
      <c r="X36" s="504">
        <f>15753+274+58+338</f>
        <v>16423</v>
      </c>
      <c r="Y36" s="907">
        <f>5255+58</f>
        <v>5313</v>
      </c>
      <c r="Z36" s="908">
        <v>5318</v>
      </c>
      <c r="AA36" s="908">
        <f>58+5249</f>
        <v>5307</v>
      </c>
      <c r="AB36" s="908">
        <f>5262+58</f>
        <v>5320</v>
      </c>
      <c r="AC36" s="908">
        <f>5261+58+274</f>
        <v>5593</v>
      </c>
      <c r="AD36" s="908">
        <f>5265+274+58</f>
        <v>5597</v>
      </c>
      <c r="AE36" s="908">
        <f>5268+274+58</f>
        <v>5600</v>
      </c>
      <c r="AF36" s="510">
        <f t="shared" si="3"/>
        <v>34.0985203677769</v>
      </c>
      <c r="AG36" s="294" t="s">
        <v>13</v>
      </c>
    </row>
    <row r="37" spans="1:33" ht="12.75" customHeight="1">
      <c r="A37" s="114"/>
      <c r="B37" s="104" t="s">
        <v>310</v>
      </c>
      <c r="C37" s="891"/>
      <c r="D37" s="892"/>
      <c r="E37" s="892"/>
      <c r="F37" s="892"/>
      <c r="G37" s="892"/>
      <c r="H37" s="892"/>
      <c r="I37" s="892"/>
      <c r="J37" s="892"/>
      <c r="K37" s="892"/>
      <c r="L37" s="892"/>
      <c r="M37" s="892"/>
      <c r="N37" s="892"/>
      <c r="O37" s="892"/>
      <c r="P37" s="862"/>
      <c r="Q37" s="892"/>
      <c r="R37" s="862"/>
      <c r="S37" s="862"/>
      <c r="T37" s="862">
        <v>423</v>
      </c>
      <c r="U37" s="909">
        <v>423</v>
      </c>
      <c r="V37" s="909">
        <v>423</v>
      </c>
      <c r="W37" s="909">
        <v>423</v>
      </c>
      <c r="X37" s="909">
        <v>423</v>
      </c>
      <c r="Y37" s="891"/>
      <c r="Z37" s="892"/>
      <c r="AA37" s="892">
        <v>0</v>
      </c>
      <c r="AB37" s="910">
        <v>0</v>
      </c>
      <c r="AC37" s="910">
        <v>0</v>
      </c>
      <c r="AD37" s="910">
        <v>0</v>
      </c>
      <c r="AE37" s="910">
        <v>0</v>
      </c>
      <c r="AF37" s="911">
        <f t="shared" si="3"/>
        <v>0</v>
      </c>
      <c r="AG37" s="104" t="s">
        <v>310</v>
      </c>
    </row>
    <row r="38" spans="1:33" ht="12.75" customHeight="1">
      <c r="A38" s="114"/>
      <c r="B38" s="294" t="s">
        <v>244</v>
      </c>
      <c r="C38" s="907"/>
      <c r="D38" s="908"/>
      <c r="E38" s="908"/>
      <c r="F38" s="908"/>
      <c r="G38" s="908"/>
      <c r="H38" s="908"/>
      <c r="I38" s="908"/>
      <c r="J38" s="908"/>
      <c r="K38" s="908"/>
      <c r="L38" s="908"/>
      <c r="M38" s="908"/>
      <c r="N38" s="908"/>
      <c r="O38" s="908">
        <v>249</v>
      </c>
      <c r="P38" s="504">
        <v>248</v>
      </c>
      <c r="Q38" s="908">
        <v>248</v>
      </c>
      <c r="R38" s="504">
        <v>248</v>
      </c>
      <c r="S38" s="504">
        <v>249</v>
      </c>
      <c r="T38" s="504">
        <v>249</v>
      </c>
      <c r="U38" s="504">
        <v>249</v>
      </c>
      <c r="V38" s="504">
        <v>249</v>
      </c>
      <c r="W38" s="504">
        <v>248.76</v>
      </c>
      <c r="X38" s="504">
        <v>248.76</v>
      </c>
      <c r="Y38" s="907">
        <v>167</v>
      </c>
      <c r="Z38" s="908">
        <v>168</v>
      </c>
      <c r="AA38" s="908">
        <v>168</v>
      </c>
      <c r="AB38" s="908">
        <v>168</v>
      </c>
      <c r="AC38" s="908">
        <v>224.06</v>
      </c>
      <c r="AD38" s="908">
        <v>224.06</v>
      </c>
      <c r="AE38" s="908">
        <v>224.06</v>
      </c>
      <c r="AF38" s="510">
        <f t="shared" si="3"/>
        <v>90.07075092458595</v>
      </c>
      <c r="AG38" s="294" t="s">
        <v>244</v>
      </c>
    </row>
    <row r="39" spans="1:33" ht="12.75" customHeight="1">
      <c r="A39" s="114"/>
      <c r="B39" s="102" t="s">
        <v>149</v>
      </c>
      <c r="C39" s="897"/>
      <c r="D39" s="881">
        <v>673</v>
      </c>
      <c r="E39" s="881">
        <v>696</v>
      </c>
      <c r="F39" s="881">
        <v>699</v>
      </c>
      <c r="G39" s="881">
        <v>699</v>
      </c>
      <c r="H39" s="881">
        <v>699</v>
      </c>
      <c r="I39" s="881">
        <v>699</v>
      </c>
      <c r="J39" s="881">
        <v>699</v>
      </c>
      <c r="K39" s="881">
        <v>699</v>
      </c>
      <c r="L39" s="881">
        <v>699</v>
      </c>
      <c r="M39" s="881">
        <v>699</v>
      </c>
      <c r="N39" s="881">
        <v>699</v>
      </c>
      <c r="O39" s="881">
        <v>699</v>
      </c>
      <c r="P39" s="268">
        <v>699</v>
      </c>
      <c r="Q39" s="881">
        <v>699</v>
      </c>
      <c r="R39" s="268">
        <v>699</v>
      </c>
      <c r="S39" s="268">
        <v>699</v>
      </c>
      <c r="T39" s="268">
        <v>699</v>
      </c>
      <c r="U39" s="268">
        <v>699</v>
      </c>
      <c r="V39" s="268">
        <v>699</v>
      </c>
      <c r="W39" s="268">
        <v>699</v>
      </c>
      <c r="X39" s="268">
        <v>699</v>
      </c>
      <c r="Y39" s="897">
        <v>234</v>
      </c>
      <c r="Z39" s="881">
        <v>234</v>
      </c>
      <c r="AA39" s="881">
        <v>234</v>
      </c>
      <c r="AB39" s="881">
        <v>234</v>
      </c>
      <c r="AC39" s="881">
        <v>234</v>
      </c>
      <c r="AD39" s="881">
        <v>234</v>
      </c>
      <c r="AE39" s="881">
        <v>234</v>
      </c>
      <c r="AF39" s="314">
        <f t="shared" si="3"/>
        <v>33.47639484978541</v>
      </c>
      <c r="AG39" s="102" t="s">
        <v>149</v>
      </c>
    </row>
    <row r="40" spans="1:33" ht="12.75" customHeight="1">
      <c r="A40" s="114"/>
      <c r="B40" s="294" t="s">
        <v>245</v>
      </c>
      <c r="C40" s="907"/>
      <c r="D40" s="908"/>
      <c r="E40" s="908"/>
      <c r="F40" s="908"/>
      <c r="G40" s="908"/>
      <c r="H40" s="908"/>
      <c r="I40" s="908"/>
      <c r="J40" s="908"/>
      <c r="K40" s="908"/>
      <c r="L40" s="908"/>
      <c r="M40" s="908"/>
      <c r="N40" s="908">
        <v>3809</v>
      </c>
      <c r="O40" s="504">
        <v>3809</v>
      </c>
      <c r="P40" s="504">
        <v>3809</v>
      </c>
      <c r="Q40" s="908">
        <v>3809</v>
      </c>
      <c r="R40" s="504">
        <v>3809</v>
      </c>
      <c r="S40" s="504">
        <v>3809</v>
      </c>
      <c r="T40" s="504">
        <v>3809</v>
      </c>
      <c r="U40" s="504">
        <v>3809</v>
      </c>
      <c r="V40" s="504">
        <v>3809</v>
      </c>
      <c r="W40" s="504">
        <v>3809</v>
      </c>
      <c r="X40" s="504">
        <v>3809</v>
      </c>
      <c r="Y40" s="907">
        <v>1254</v>
      </c>
      <c r="Z40" s="908">
        <v>1254</v>
      </c>
      <c r="AA40" s="908">
        <v>1254</v>
      </c>
      <c r="AB40" s="908">
        <v>1278</v>
      </c>
      <c r="AC40" s="908">
        <v>1279</v>
      </c>
      <c r="AD40" s="908">
        <v>1279</v>
      </c>
      <c r="AE40" s="908">
        <v>1275</v>
      </c>
      <c r="AF40" s="510">
        <f t="shared" si="3"/>
        <v>33.47335258598057</v>
      </c>
      <c r="AG40" s="294" t="s">
        <v>245</v>
      </c>
    </row>
    <row r="41" spans="1:33" ht="12.75" customHeight="1">
      <c r="A41" s="114"/>
      <c r="B41" s="103" t="s">
        <v>150</v>
      </c>
      <c r="C41" s="912">
        <v>7985</v>
      </c>
      <c r="D41" s="913">
        <v>8387</v>
      </c>
      <c r="E41" s="913">
        <v>8429</v>
      </c>
      <c r="F41" s="913">
        <v>8549</v>
      </c>
      <c r="G41" s="913">
        <v>8607</v>
      </c>
      <c r="H41" s="913">
        <v>8607</v>
      </c>
      <c r="I41" s="913">
        <v>8607</v>
      </c>
      <c r="J41" s="913">
        <v>8682</v>
      </c>
      <c r="K41" s="913">
        <v>8671</v>
      </c>
      <c r="L41" s="913">
        <v>8671</v>
      </c>
      <c r="M41" s="913">
        <v>8671</v>
      </c>
      <c r="N41" s="913">
        <v>8697</v>
      </c>
      <c r="O41" s="913">
        <v>8697</v>
      </c>
      <c r="P41" s="275">
        <v>8697</v>
      </c>
      <c r="Q41" s="913">
        <v>8697</v>
      </c>
      <c r="R41" s="275">
        <v>8697</v>
      </c>
      <c r="S41" s="275">
        <v>8699</v>
      </c>
      <c r="T41" s="275">
        <v>9080</v>
      </c>
      <c r="U41" s="268">
        <v>9594</v>
      </c>
      <c r="V41" s="268">
        <v>9642</v>
      </c>
      <c r="W41" s="268">
        <v>9642</v>
      </c>
      <c r="X41" s="268">
        <v>9718</v>
      </c>
      <c r="Y41" s="897">
        <v>1920</v>
      </c>
      <c r="Z41" s="881">
        <v>1928</v>
      </c>
      <c r="AA41" s="881">
        <v>2313</v>
      </c>
      <c r="AB41" s="881">
        <v>2791</v>
      </c>
      <c r="AC41" s="881">
        <v>2789</v>
      </c>
      <c r="AD41" s="881">
        <v>2840</v>
      </c>
      <c r="AE41" s="881">
        <v>2922</v>
      </c>
      <c r="AF41" s="314">
        <f t="shared" si="3"/>
        <v>30.067915208890717</v>
      </c>
      <c r="AG41" s="103" t="s">
        <v>150</v>
      </c>
    </row>
    <row r="42" spans="1:33" ht="12.75" customHeight="1">
      <c r="A42" s="114"/>
      <c r="B42" s="294" t="s">
        <v>151</v>
      </c>
      <c r="C42" s="873" t="s">
        <v>146</v>
      </c>
      <c r="D42" s="874" t="s">
        <v>146</v>
      </c>
      <c r="E42" s="914" t="s">
        <v>146</v>
      </c>
      <c r="F42" s="914" t="s">
        <v>146</v>
      </c>
      <c r="G42" s="874" t="s">
        <v>146</v>
      </c>
      <c r="H42" s="874" t="s">
        <v>146</v>
      </c>
      <c r="I42" s="874" t="s">
        <v>146</v>
      </c>
      <c r="J42" s="874" t="s">
        <v>146</v>
      </c>
      <c r="K42" s="874" t="s">
        <v>146</v>
      </c>
      <c r="L42" s="874" t="s">
        <v>146</v>
      </c>
      <c r="M42" s="874" t="s">
        <v>146</v>
      </c>
      <c r="N42" s="874" t="s">
        <v>146</v>
      </c>
      <c r="O42" s="914" t="s">
        <v>146</v>
      </c>
      <c r="P42" s="914" t="s">
        <v>146</v>
      </c>
      <c r="Q42" s="914" t="s">
        <v>146</v>
      </c>
      <c r="R42" s="914" t="s">
        <v>146</v>
      </c>
      <c r="S42" s="914" t="s">
        <v>146</v>
      </c>
      <c r="T42" s="914" t="s">
        <v>146</v>
      </c>
      <c r="U42" s="914" t="s">
        <v>146</v>
      </c>
      <c r="V42" s="914" t="s">
        <v>146</v>
      </c>
      <c r="W42" s="914" t="s">
        <v>146</v>
      </c>
      <c r="X42" s="914" t="s">
        <v>146</v>
      </c>
      <c r="Y42" s="915" t="s">
        <v>146</v>
      </c>
      <c r="Z42" s="914" t="s">
        <v>146</v>
      </c>
      <c r="AA42" s="914" t="s">
        <v>146</v>
      </c>
      <c r="AB42" s="914" t="s">
        <v>146</v>
      </c>
      <c r="AC42" s="914" t="s">
        <v>146</v>
      </c>
      <c r="AD42" s="914" t="s">
        <v>146</v>
      </c>
      <c r="AE42" s="914" t="s">
        <v>146</v>
      </c>
      <c r="AF42" s="916" t="s">
        <v>146</v>
      </c>
      <c r="AG42" s="294" t="s">
        <v>151</v>
      </c>
    </row>
    <row r="43" spans="1:33" ht="12.75" customHeight="1">
      <c r="A43" s="114"/>
      <c r="B43" s="102" t="s">
        <v>152</v>
      </c>
      <c r="C43" s="897">
        <v>4242</v>
      </c>
      <c r="D43" s="881">
        <v>4242</v>
      </c>
      <c r="E43" s="881">
        <v>4044</v>
      </c>
      <c r="F43" s="881">
        <v>4023</v>
      </c>
      <c r="G43" s="881">
        <v>4152</v>
      </c>
      <c r="H43" s="881">
        <v>4152</v>
      </c>
      <c r="I43" s="881">
        <v>4152</v>
      </c>
      <c r="J43" s="881">
        <v>4021</v>
      </c>
      <c r="K43" s="881">
        <v>4413</v>
      </c>
      <c r="L43" s="881">
        <v>4425</v>
      </c>
      <c r="M43" s="881">
        <v>4324</v>
      </c>
      <c r="N43" s="881">
        <v>4334</v>
      </c>
      <c r="O43" s="881">
        <v>4334</v>
      </c>
      <c r="P43" s="268">
        <v>4334</v>
      </c>
      <c r="Q43" s="881">
        <v>4338</v>
      </c>
      <c r="R43" s="268">
        <v>4374</v>
      </c>
      <c r="S43" s="268">
        <v>4341</v>
      </c>
      <c r="T43" s="268">
        <v>4151</v>
      </c>
      <c r="U43" s="268">
        <v>4199</v>
      </c>
      <c r="V43" s="268">
        <v>4154</v>
      </c>
      <c r="W43" s="268">
        <v>4264</v>
      </c>
      <c r="X43" s="268">
        <v>4224</v>
      </c>
      <c r="Y43" s="897">
        <v>2792</v>
      </c>
      <c r="Z43" s="881">
        <v>2779</v>
      </c>
      <c r="AA43" s="881">
        <v>2746</v>
      </c>
      <c r="AB43" s="881">
        <v>2765</v>
      </c>
      <c r="AC43" s="881">
        <v>2500</v>
      </c>
      <c r="AD43" s="881">
        <v>2489</v>
      </c>
      <c r="AE43" s="881">
        <v>2500</v>
      </c>
      <c r="AF43" s="314">
        <f t="shared" si="3"/>
        <v>59.185606060606055</v>
      </c>
      <c r="AG43" s="102" t="s">
        <v>152</v>
      </c>
    </row>
    <row r="44" spans="1:33" ht="12.75" customHeight="1">
      <c r="A44" s="114"/>
      <c r="B44" s="477" t="s">
        <v>153</v>
      </c>
      <c r="C44" s="917">
        <v>3161</v>
      </c>
      <c r="D44" s="918">
        <v>3178</v>
      </c>
      <c r="E44" s="918">
        <v>3215</v>
      </c>
      <c r="F44" s="918">
        <v>3232</v>
      </c>
      <c r="G44" s="918">
        <v>3234</v>
      </c>
      <c r="H44" s="918">
        <v>3184</v>
      </c>
      <c r="I44" s="918">
        <v>3151</v>
      </c>
      <c r="J44" s="918">
        <v>3143</v>
      </c>
      <c r="K44" s="918">
        <v>3216</v>
      </c>
      <c r="L44" s="918">
        <v>3225</v>
      </c>
      <c r="M44" s="918">
        <v>3222</v>
      </c>
      <c r="N44" s="918">
        <f>2990+241</f>
        <v>3231</v>
      </c>
      <c r="O44" s="918">
        <v>3381</v>
      </c>
      <c r="P44" s="507">
        <f>241+3158</f>
        <v>3399</v>
      </c>
      <c r="Q44" s="918">
        <f>3158+405</f>
        <v>3563</v>
      </c>
      <c r="R44" s="507">
        <f>3158+405</f>
        <v>3563</v>
      </c>
      <c r="S44" s="507">
        <v>3557</v>
      </c>
      <c r="T44" s="507">
        <f>460+3139</f>
        <v>3599</v>
      </c>
      <c r="U44" s="507">
        <f>3137+460</f>
        <v>3597</v>
      </c>
      <c r="V44" s="507">
        <v>3574</v>
      </c>
      <c r="W44" s="507">
        <f>3138+413</f>
        <v>3551</v>
      </c>
      <c r="X44" s="507">
        <f>3175+413</f>
        <v>3588</v>
      </c>
      <c r="Y44" s="917">
        <f>3158+405</f>
        <v>3563</v>
      </c>
      <c r="Z44" s="918">
        <v>3557</v>
      </c>
      <c r="AA44" s="918">
        <f>460+3139</f>
        <v>3599</v>
      </c>
      <c r="AB44" s="918">
        <f>3137+436</f>
        <v>3573</v>
      </c>
      <c r="AC44" s="918">
        <f>3137+436</f>
        <v>3573</v>
      </c>
      <c r="AD44" s="918">
        <f>3137+413</f>
        <v>3550</v>
      </c>
      <c r="AE44" s="918">
        <f>3174+413</f>
        <v>3587</v>
      </c>
      <c r="AF44" s="509">
        <f t="shared" si="3"/>
        <v>99.9721293199554</v>
      </c>
      <c r="AG44" s="477" t="s">
        <v>153</v>
      </c>
    </row>
    <row r="45" spans="2:33" ht="25.5" customHeight="1">
      <c r="B45" s="1105" t="s">
        <v>211</v>
      </c>
      <c r="C45" s="1105"/>
      <c r="D45" s="1105"/>
      <c r="E45" s="1105"/>
      <c r="F45" s="1105"/>
      <c r="G45" s="1105"/>
      <c r="H45" s="1105"/>
      <c r="I45" s="1105"/>
      <c r="J45" s="1105"/>
      <c r="K45" s="1105"/>
      <c r="L45" s="1105"/>
      <c r="M45" s="1105"/>
      <c r="N45" s="1105"/>
      <c r="O45" s="1105"/>
      <c r="P45" s="1105"/>
      <c r="Q45" s="1105"/>
      <c r="R45" s="1105"/>
      <c r="S45" s="1105"/>
      <c r="T45" s="1105"/>
      <c r="U45" s="1105"/>
      <c r="V45" s="1105"/>
      <c r="W45" s="1105"/>
      <c r="X45" s="1105"/>
      <c r="Y45" s="1105"/>
      <c r="Z45" s="1105"/>
      <c r="AA45" s="1105"/>
      <c r="AB45" s="156"/>
      <c r="AC45" s="156"/>
      <c r="AD45" s="156"/>
      <c r="AE45" s="156"/>
      <c r="AF45" s="156"/>
      <c r="AG45" s="156"/>
    </row>
    <row r="46" spans="2:33" ht="12.75" customHeight="1">
      <c r="B46" s="118" t="s">
        <v>174</v>
      </c>
      <c r="D46" s="118"/>
      <c r="E46" s="118"/>
      <c r="F46" s="118"/>
      <c r="G46" s="118"/>
      <c r="H46" s="118"/>
      <c r="I46" s="118"/>
      <c r="J46" s="118"/>
      <c r="K46" s="118"/>
      <c r="L46" s="118"/>
      <c r="M46" s="118"/>
      <c r="N46" s="118"/>
      <c r="O46" s="118"/>
      <c r="P46" s="157"/>
      <c r="Q46" s="157"/>
      <c r="R46" s="157"/>
      <c r="S46" s="157"/>
      <c r="AA46" s="157"/>
      <c r="AB46" s="157"/>
      <c r="AC46" s="157"/>
      <c r="AD46" s="157"/>
      <c r="AE46" s="157"/>
      <c r="AF46" s="157"/>
      <c r="AG46" s="157"/>
    </row>
    <row r="47" ht="11.25">
      <c r="B47" s="222" t="s">
        <v>212</v>
      </c>
    </row>
    <row r="48" ht="11.25">
      <c r="B48" s="222" t="s">
        <v>271</v>
      </c>
    </row>
  </sheetData>
  <sheetProtection/>
  <mergeCells count="3">
    <mergeCell ref="B1:C1"/>
    <mergeCell ref="B2:AA2"/>
    <mergeCell ref="B45:AA4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FF00"/>
  </sheetPr>
  <dimension ref="A1:AD51"/>
  <sheetViews>
    <sheetView zoomScalePageLayoutView="0" workbookViewId="0" topLeftCell="A1">
      <selection activeCell="A1" sqref="A1"/>
    </sheetView>
  </sheetViews>
  <sheetFormatPr defaultColWidth="9.140625" defaultRowHeight="12.75"/>
  <cols>
    <col min="1" max="1" width="2.7109375" style="96" customWidth="1"/>
    <col min="2" max="2" width="4.00390625" style="96" customWidth="1"/>
    <col min="3" max="9" width="6.7109375" style="96" customWidth="1"/>
    <col min="10" max="10" width="7.57421875" style="96" customWidth="1"/>
    <col min="11" max="15" width="6.7109375" style="96" customWidth="1"/>
    <col min="16" max="16" width="6.7109375" style="514" customWidth="1"/>
    <col min="17" max="17" width="6.7109375" style="515" customWidth="1"/>
    <col min="18" max="20" width="6.7109375" style="193" customWidth="1"/>
    <col min="21" max="25" width="7.28125" style="193" customWidth="1"/>
    <col min="26" max="29" width="6.7109375" style="96" customWidth="1"/>
    <col min="30" max="30" width="4.7109375" style="96" customWidth="1"/>
    <col min="31" max="16384" width="9.140625" style="96" customWidth="1"/>
  </cols>
  <sheetData>
    <row r="1" spans="2:30" ht="14.25" customHeight="1">
      <c r="B1" s="95"/>
      <c r="C1" s="95"/>
      <c r="D1" s="95"/>
      <c r="E1" s="95"/>
      <c r="F1" s="95"/>
      <c r="G1" s="95"/>
      <c r="H1" s="95"/>
      <c r="I1" s="95"/>
      <c r="J1" s="95"/>
      <c r="K1" s="95"/>
      <c r="L1" s="95"/>
      <c r="M1" s="95"/>
      <c r="N1" s="95"/>
      <c r="O1" s="95"/>
      <c r="P1" s="511"/>
      <c r="Q1" s="512"/>
      <c r="R1" s="513"/>
      <c r="S1" s="513"/>
      <c r="AD1" s="97" t="s">
        <v>213</v>
      </c>
    </row>
    <row r="2" spans="2:30" s="197" customFormat="1" ht="30" customHeight="1">
      <c r="B2" s="1059" t="s">
        <v>214</v>
      </c>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row>
    <row r="3" spans="2:30" ht="19.5" customHeight="1">
      <c r="B3" s="1120" t="s">
        <v>215</v>
      </c>
      <c r="C3" s="1120"/>
      <c r="D3" s="1120"/>
      <c r="E3" s="1120"/>
      <c r="F3" s="1120"/>
      <c r="G3" s="1120"/>
      <c r="H3" s="1120"/>
      <c r="I3" s="1120"/>
      <c r="J3" s="1120"/>
      <c r="K3" s="1120"/>
      <c r="L3" s="1120"/>
      <c r="M3" s="1120"/>
      <c r="N3" s="1120"/>
      <c r="O3" s="1120"/>
      <c r="P3" s="1120"/>
      <c r="Q3" s="1120"/>
      <c r="R3" s="1120"/>
      <c r="S3" s="1120"/>
      <c r="T3" s="1120"/>
      <c r="U3" s="1120"/>
      <c r="V3" s="1120"/>
      <c r="W3" s="1120"/>
      <c r="X3" s="1120"/>
      <c r="Y3" s="1120"/>
      <c r="Z3" s="1120"/>
      <c r="AA3" s="1120"/>
      <c r="AB3" s="1120"/>
      <c r="AC3" s="1120"/>
      <c r="AD3" s="1120"/>
    </row>
    <row r="4" spans="23:25" ht="12.75" customHeight="1">
      <c r="W4" s="516"/>
      <c r="X4" s="516" t="s">
        <v>216</v>
      </c>
      <c r="Y4" s="516"/>
    </row>
    <row r="5" spans="2:30" ht="19.5" customHeight="1">
      <c r="B5" s="98"/>
      <c r="C5" s="99">
        <v>1970</v>
      </c>
      <c r="D5" s="99">
        <v>1980</v>
      </c>
      <c r="E5" s="100">
        <v>1990</v>
      </c>
      <c r="F5" s="101">
        <v>1991</v>
      </c>
      <c r="G5" s="101">
        <v>1992</v>
      </c>
      <c r="H5" s="101">
        <v>1993</v>
      </c>
      <c r="I5" s="101">
        <v>1994</v>
      </c>
      <c r="J5" s="101">
        <v>1995</v>
      </c>
      <c r="K5" s="101">
        <v>1996</v>
      </c>
      <c r="L5" s="101">
        <v>1997</v>
      </c>
      <c r="M5" s="101">
        <v>1998</v>
      </c>
      <c r="N5" s="101">
        <v>1999</v>
      </c>
      <c r="O5" s="101">
        <v>2000</v>
      </c>
      <c r="P5" s="101">
        <v>2001</v>
      </c>
      <c r="Q5" s="101">
        <v>2002</v>
      </c>
      <c r="R5" s="101">
        <v>2003</v>
      </c>
      <c r="S5" s="101">
        <v>2004</v>
      </c>
      <c r="T5" s="101">
        <v>2005</v>
      </c>
      <c r="U5" s="101">
        <v>2006</v>
      </c>
      <c r="V5" s="101">
        <v>2007</v>
      </c>
      <c r="W5" s="101">
        <v>2008</v>
      </c>
      <c r="X5" s="101">
        <v>2009</v>
      </c>
      <c r="Y5" s="101">
        <v>2010</v>
      </c>
      <c r="Z5" s="101">
        <v>2011</v>
      </c>
      <c r="AA5" s="101">
        <v>2012</v>
      </c>
      <c r="AB5" s="101">
        <v>2013</v>
      </c>
      <c r="AC5" s="517" t="s">
        <v>314</v>
      </c>
      <c r="AD5" s="461"/>
    </row>
    <row r="6" spans="2:30" ht="9.75" customHeight="1">
      <c r="B6" s="98"/>
      <c r="C6" s="225"/>
      <c r="D6" s="225"/>
      <c r="E6" s="518"/>
      <c r="F6" s="200"/>
      <c r="G6" s="200"/>
      <c r="H6" s="200"/>
      <c r="I6" s="200"/>
      <c r="J6" s="200"/>
      <c r="K6" s="200"/>
      <c r="L6" s="200"/>
      <c r="M6" s="200"/>
      <c r="N6" s="200"/>
      <c r="O6" s="200"/>
      <c r="P6" s="200"/>
      <c r="Q6" s="200"/>
      <c r="R6" s="200"/>
      <c r="S6" s="200"/>
      <c r="T6" s="200"/>
      <c r="U6" s="200"/>
      <c r="V6" s="200"/>
      <c r="W6" s="200"/>
      <c r="X6" s="200"/>
      <c r="Y6" s="519"/>
      <c r="Z6" s="520"/>
      <c r="AA6" s="520"/>
      <c r="AB6" s="520"/>
      <c r="AC6" s="521" t="s">
        <v>147</v>
      </c>
      <c r="AD6" s="461"/>
    </row>
    <row r="7" spans="2:30" ht="12.75" customHeight="1">
      <c r="B7" s="522" t="s">
        <v>260</v>
      </c>
      <c r="C7" s="919"/>
      <c r="D7" s="919"/>
      <c r="E7" s="920">
        <f>SUM(E10:E37)</f>
        <v>163627.99899999998</v>
      </c>
      <c r="F7" s="920">
        <f aca="true" t="shared" si="0" ref="F7:AB7">SUM(F10:F37)</f>
        <v>168475.546</v>
      </c>
      <c r="G7" s="920">
        <f t="shared" si="0"/>
        <v>172905.88999999998</v>
      </c>
      <c r="H7" s="920">
        <f t="shared" si="0"/>
        <v>175794.55299999999</v>
      </c>
      <c r="I7" s="920">
        <f t="shared" si="0"/>
        <v>178966.66</v>
      </c>
      <c r="J7" s="921">
        <f t="shared" si="0"/>
        <v>182462.08800000002</v>
      </c>
      <c r="K7" s="921">
        <f t="shared" si="0"/>
        <v>186759.245</v>
      </c>
      <c r="L7" s="921">
        <f t="shared" si="0"/>
        <v>186414.53799999997</v>
      </c>
      <c r="M7" s="921">
        <f t="shared" si="0"/>
        <v>191290.785</v>
      </c>
      <c r="N7" s="921">
        <f t="shared" si="0"/>
        <v>197037.149</v>
      </c>
      <c r="O7" s="921">
        <f t="shared" si="0"/>
        <v>201992.91999999998</v>
      </c>
      <c r="P7" s="921">
        <f t="shared" si="0"/>
        <v>206757.993</v>
      </c>
      <c r="Q7" s="921">
        <f t="shared" si="0"/>
        <v>210891.44999999998</v>
      </c>
      <c r="R7" s="921">
        <f t="shared" si="0"/>
        <v>213780.58599999995</v>
      </c>
      <c r="S7" s="921">
        <f t="shared" si="0"/>
        <v>217238.09999999992</v>
      </c>
      <c r="T7" s="921">
        <f t="shared" si="0"/>
        <v>221607.87299999996</v>
      </c>
      <c r="U7" s="921">
        <f t="shared" si="0"/>
        <v>225890.894</v>
      </c>
      <c r="V7" s="921">
        <f t="shared" si="0"/>
        <v>231027.49899999995</v>
      </c>
      <c r="W7" s="921">
        <f t="shared" si="0"/>
        <v>235387.30299999999</v>
      </c>
      <c r="X7" s="921">
        <f t="shared" si="0"/>
        <v>237572.97999999995</v>
      </c>
      <c r="Y7" s="921">
        <f t="shared" si="0"/>
        <v>240426.686</v>
      </c>
      <c r="Z7" s="921">
        <f t="shared" si="0"/>
        <v>243449.51799999998</v>
      </c>
      <c r="AA7" s="921">
        <f t="shared" si="0"/>
        <v>245906.33899999998</v>
      </c>
      <c r="AB7" s="921">
        <f t="shared" si="0"/>
        <v>247997.18699999998</v>
      </c>
      <c r="AC7" s="523">
        <f>AB7/AA7*100-100</f>
        <v>0.8502619365172279</v>
      </c>
      <c r="AD7" s="522" t="s">
        <v>260</v>
      </c>
    </row>
    <row r="8" spans="2:30" ht="12.75" customHeight="1">
      <c r="B8" s="294" t="s">
        <v>89</v>
      </c>
      <c r="C8" s="922">
        <f aca="true" t="shared" si="1" ref="C8:AB8">C10+C13+C14+C17+C18+C19+C16+C21+C25+C28+C29+C31+C35+C36+C37</f>
        <v>62477.114</v>
      </c>
      <c r="D8" s="922">
        <f t="shared" si="1"/>
        <v>104284.42300000001</v>
      </c>
      <c r="E8" s="923">
        <f>E10+E13+E14+E17+E18+E19+E16+E21+E25+E28+E29+E31+E35+E36+E37</f>
        <v>148040.61</v>
      </c>
      <c r="F8" s="923">
        <f t="shared" si="1"/>
        <v>151510.096</v>
      </c>
      <c r="G8" s="923">
        <f t="shared" si="1"/>
        <v>155037.316</v>
      </c>
      <c r="H8" s="923">
        <f t="shared" si="1"/>
        <v>156868.47400000002</v>
      </c>
      <c r="I8" s="923">
        <f t="shared" si="1"/>
        <v>159118.86299999998</v>
      </c>
      <c r="J8" s="924">
        <f t="shared" si="1"/>
        <v>161538.931</v>
      </c>
      <c r="K8" s="924">
        <f t="shared" si="1"/>
        <v>164596.276</v>
      </c>
      <c r="L8" s="924">
        <f t="shared" si="1"/>
        <v>163008.656</v>
      </c>
      <c r="M8" s="924">
        <f t="shared" si="1"/>
        <v>166938.63900000002</v>
      </c>
      <c r="N8" s="924">
        <f t="shared" si="1"/>
        <v>171789.655</v>
      </c>
      <c r="O8" s="924">
        <f t="shared" si="1"/>
        <v>175512.823</v>
      </c>
      <c r="P8" s="924">
        <f t="shared" si="1"/>
        <v>179303.222</v>
      </c>
      <c r="Q8" s="924">
        <f t="shared" si="1"/>
        <v>182282.50599999996</v>
      </c>
      <c r="R8" s="924">
        <f t="shared" si="1"/>
        <v>184245.51099999997</v>
      </c>
      <c r="S8" s="924">
        <f t="shared" si="1"/>
        <v>186466.39399999997</v>
      </c>
      <c r="T8" s="924">
        <f t="shared" si="1"/>
        <v>189611.392</v>
      </c>
      <c r="U8" s="924">
        <f t="shared" si="1"/>
        <v>192763.989</v>
      </c>
      <c r="V8" s="924">
        <f t="shared" si="1"/>
        <v>195932.18999999997</v>
      </c>
      <c r="W8" s="924">
        <f t="shared" si="1"/>
        <v>197481.43399999998</v>
      </c>
      <c r="X8" s="924">
        <f t="shared" si="1"/>
        <v>198862.574</v>
      </c>
      <c r="Y8" s="924">
        <f t="shared" si="1"/>
        <v>200953.499</v>
      </c>
      <c r="Z8" s="924">
        <f t="shared" si="1"/>
        <v>202794.45800000004</v>
      </c>
      <c r="AA8" s="924">
        <f t="shared" si="1"/>
        <v>204141.76700000005</v>
      </c>
      <c r="AB8" s="924">
        <f t="shared" si="1"/>
        <v>205037.369</v>
      </c>
      <c r="AC8" s="524">
        <f aca="true" t="shared" si="2" ref="AC8:AC46">AB8/AA8*100-100</f>
        <v>0.4387157087750495</v>
      </c>
      <c r="AD8" s="294" t="s">
        <v>89</v>
      </c>
    </row>
    <row r="9" spans="2:30" ht="12.75" customHeight="1">
      <c r="B9" s="477" t="s">
        <v>261</v>
      </c>
      <c r="C9" s="925"/>
      <c r="D9" s="925"/>
      <c r="E9" s="926">
        <f aca="true" t="shared" si="3" ref="E9:X9">E7-E8</f>
        <v>15587.388999999996</v>
      </c>
      <c r="F9" s="927">
        <f t="shared" si="3"/>
        <v>16965.45000000001</v>
      </c>
      <c r="G9" s="927">
        <f t="shared" si="3"/>
        <v>17868.573999999993</v>
      </c>
      <c r="H9" s="927">
        <f t="shared" si="3"/>
        <v>18926.07899999997</v>
      </c>
      <c r="I9" s="927">
        <f t="shared" si="3"/>
        <v>19847.79700000002</v>
      </c>
      <c r="J9" s="927">
        <f t="shared" si="3"/>
        <v>20923.157000000007</v>
      </c>
      <c r="K9" s="927">
        <f t="shared" si="3"/>
        <v>22162.968999999983</v>
      </c>
      <c r="L9" s="927">
        <f t="shared" si="3"/>
        <v>23405.881999999983</v>
      </c>
      <c r="M9" s="927">
        <f t="shared" si="3"/>
        <v>24352.14599999998</v>
      </c>
      <c r="N9" s="927">
        <f t="shared" si="3"/>
        <v>25247.494000000006</v>
      </c>
      <c r="O9" s="927">
        <f t="shared" si="3"/>
        <v>26480.09699999998</v>
      </c>
      <c r="P9" s="927">
        <f t="shared" si="3"/>
        <v>27454.77099999998</v>
      </c>
      <c r="Q9" s="927">
        <f t="shared" si="3"/>
        <v>28608.944000000018</v>
      </c>
      <c r="R9" s="927">
        <f t="shared" si="3"/>
        <v>29535.074999999983</v>
      </c>
      <c r="S9" s="927">
        <f t="shared" si="3"/>
        <v>30771.705999999947</v>
      </c>
      <c r="T9" s="927">
        <f t="shared" si="3"/>
        <v>31996.48099999997</v>
      </c>
      <c r="U9" s="927">
        <f t="shared" si="3"/>
        <v>33126.905</v>
      </c>
      <c r="V9" s="927">
        <f t="shared" si="3"/>
        <v>35095.30899999998</v>
      </c>
      <c r="W9" s="927">
        <f t="shared" si="3"/>
        <v>37905.869000000006</v>
      </c>
      <c r="X9" s="927">
        <f t="shared" si="3"/>
        <v>38710.40599999996</v>
      </c>
      <c r="Y9" s="927">
        <f>Y7-Y8</f>
        <v>39473.186999999976</v>
      </c>
      <c r="Z9" s="927">
        <f>Z7-Z8</f>
        <v>40655.05999999994</v>
      </c>
      <c r="AA9" s="927">
        <f>AA7-AA8</f>
        <v>41764.57199999993</v>
      </c>
      <c r="AB9" s="927">
        <f>AB7-AB8</f>
        <v>42959.81799999997</v>
      </c>
      <c r="AC9" s="525">
        <f t="shared" si="2"/>
        <v>2.861865793812129</v>
      </c>
      <c r="AD9" s="477" t="s">
        <v>261</v>
      </c>
    </row>
    <row r="10" spans="1:30" ht="12.75" customHeight="1">
      <c r="A10" s="114"/>
      <c r="B10" s="102" t="s">
        <v>60</v>
      </c>
      <c r="C10" s="928">
        <v>2059.616</v>
      </c>
      <c r="D10" s="928">
        <v>3158.737</v>
      </c>
      <c r="E10" s="268">
        <v>3864.159</v>
      </c>
      <c r="F10" s="268">
        <v>3970</v>
      </c>
      <c r="G10" s="268">
        <v>4021</v>
      </c>
      <c r="H10" s="268">
        <v>4109.601</v>
      </c>
      <c r="I10" s="268">
        <v>4210.197</v>
      </c>
      <c r="J10" s="268">
        <v>4273.451</v>
      </c>
      <c r="K10" s="268">
        <v>4339.231</v>
      </c>
      <c r="L10" s="268">
        <v>4415.343</v>
      </c>
      <c r="M10" s="268">
        <v>4491.734</v>
      </c>
      <c r="N10" s="268">
        <v>4583.615</v>
      </c>
      <c r="O10" s="268">
        <v>4678.376</v>
      </c>
      <c r="P10" s="268">
        <v>4739.85</v>
      </c>
      <c r="Q10" s="268">
        <v>4787.359</v>
      </c>
      <c r="R10" s="268">
        <v>4820.868</v>
      </c>
      <c r="S10" s="268">
        <v>4874.426</v>
      </c>
      <c r="T10" s="268">
        <v>4918.544</v>
      </c>
      <c r="U10" s="268">
        <v>4976.286</v>
      </c>
      <c r="V10" s="268">
        <v>5048.723</v>
      </c>
      <c r="W10" s="268">
        <v>5130.578</v>
      </c>
      <c r="X10" s="268">
        <v>5192.566</v>
      </c>
      <c r="Y10" s="268">
        <v>5276.283</v>
      </c>
      <c r="Z10" s="268">
        <v>5407</v>
      </c>
      <c r="AA10" s="268">
        <v>5440.754</v>
      </c>
      <c r="AB10" s="268">
        <v>5504.809</v>
      </c>
      <c r="AC10" s="526">
        <f t="shared" si="2"/>
        <v>1.177318437848868</v>
      </c>
      <c r="AD10" s="102" t="s">
        <v>60</v>
      </c>
    </row>
    <row r="11" spans="1:30" ht="12.75" customHeight="1">
      <c r="A11" s="114"/>
      <c r="B11" s="294" t="s">
        <v>101</v>
      </c>
      <c r="C11" s="929">
        <v>160</v>
      </c>
      <c r="D11" s="929">
        <v>820</v>
      </c>
      <c r="E11" s="504">
        <v>1317.4</v>
      </c>
      <c r="F11" s="504">
        <v>1359</v>
      </c>
      <c r="G11" s="504">
        <v>1411.3</v>
      </c>
      <c r="H11" s="504">
        <v>1505.451</v>
      </c>
      <c r="I11" s="504">
        <v>1587.873</v>
      </c>
      <c r="J11" s="504">
        <v>1647.571</v>
      </c>
      <c r="K11" s="504">
        <v>1707.023</v>
      </c>
      <c r="L11" s="504">
        <v>1730.506</v>
      </c>
      <c r="M11" s="504">
        <v>1809.35</v>
      </c>
      <c r="N11" s="504">
        <v>1908.4</v>
      </c>
      <c r="O11" s="504">
        <v>1992.7</v>
      </c>
      <c r="P11" s="504">
        <v>2085.7</v>
      </c>
      <c r="Q11" s="504">
        <v>2174.1</v>
      </c>
      <c r="R11" s="504">
        <v>2309.3</v>
      </c>
      <c r="S11" s="504">
        <v>2438.4</v>
      </c>
      <c r="T11" s="930">
        <v>2538.092</v>
      </c>
      <c r="U11" s="504">
        <v>1767.742</v>
      </c>
      <c r="V11" s="504">
        <v>2081.517</v>
      </c>
      <c r="W11" s="504">
        <v>2366.196</v>
      </c>
      <c r="X11" s="504">
        <v>2502</v>
      </c>
      <c r="Y11" s="504">
        <v>2602.4</v>
      </c>
      <c r="Z11" s="504">
        <v>2695</v>
      </c>
      <c r="AA11" s="504">
        <v>2807</v>
      </c>
      <c r="AB11" s="504">
        <v>2910.2</v>
      </c>
      <c r="AC11" s="481">
        <f t="shared" si="2"/>
        <v>3.676522978268622</v>
      </c>
      <c r="AD11" s="294" t="s">
        <v>101</v>
      </c>
    </row>
    <row r="12" spans="1:30" ht="12.75" customHeight="1">
      <c r="A12" s="114"/>
      <c r="B12" s="102" t="s">
        <v>61</v>
      </c>
      <c r="C12" s="928">
        <v>685</v>
      </c>
      <c r="D12" s="928">
        <v>1780</v>
      </c>
      <c r="E12" s="268">
        <v>2410</v>
      </c>
      <c r="F12" s="268">
        <v>2480</v>
      </c>
      <c r="G12" s="268">
        <v>2580</v>
      </c>
      <c r="H12" s="268">
        <v>2833.143</v>
      </c>
      <c r="I12" s="268">
        <v>2923.916</v>
      </c>
      <c r="J12" s="268">
        <v>3043.316</v>
      </c>
      <c r="K12" s="268">
        <v>3192.532</v>
      </c>
      <c r="L12" s="268">
        <v>3391.541</v>
      </c>
      <c r="M12" s="268">
        <v>3492.961</v>
      </c>
      <c r="N12" s="268">
        <v>3439.745</v>
      </c>
      <c r="O12" s="268">
        <v>3438.87</v>
      </c>
      <c r="P12" s="268">
        <v>3529.791</v>
      </c>
      <c r="Q12" s="268">
        <v>3647.067</v>
      </c>
      <c r="R12" s="268">
        <v>3706.012</v>
      </c>
      <c r="S12" s="268">
        <v>3815.547</v>
      </c>
      <c r="T12" s="268">
        <v>3958.708</v>
      </c>
      <c r="U12" s="268">
        <v>4108.61</v>
      </c>
      <c r="V12" s="268">
        <v>4280.081</v>
      </c>
      <c r="W12" s="268">
        <v>4423.37</v>
      </c>
      <c r="X12" s="268">
        <v>4435.052</v>
      </c>
      <c r="Y12" s="268">
        <v>4496.232</v>
      </c>
      <c r="Z12" s="268">
        <v>4581.642</v>
      </c>
      <c r="AA12" s="268">
        <v>4706</v>
      </c>
      <c r="AB12" s="268">
        <v>4729.185</v>
      </c>
      <c r="AC12" s="216">
        <f t="shared" si="2"/>
        <v>0.4926689332766898</v>
      </c>
      <c r="AD12" s="102" t="s">
        <v>61</v>
      </c>
    </row>
    <row r="13" spans="1:30" ht="12.75" customHeight="1">
      <c r="A13" s="114"/>
      <c r="B13" s="294" t="s">
        <v>14</v>
      </c>
      <c r="C13" s="929">
        <v>1076.875</v>
      </c>
      <c r="D13" s="929">
        <v>1390</v>
      </c>
      <c r="E13" s="504">
        <v>1590</v>
      </c>
      <c r="F13" s="504">
        <v>1594</v>
      </c>
      <c r="G13" s="504">
        <v>1604.053</v>
      </c>
      <c r="H13" s="504">
        <v>1617.734</v>
      </c>
      <c r="I13" s="504">
        <v>1611.191</v>
      </c>
      <c r="J13" s="504">
        <v>1679.007</v>
      </c>
      <c r="K13" s="504">
        <v>1738.854</v>
      </c>
      <c r="L13" s="504">
        <v>1783.098</v>
      </c>
      <c r="M13" s="504">
        <v>1817.147</v>
      </c>
      <c r="N13" s="504">
        <v>1843.254</v>
      </c>
      <c r="O13" s="504">
        <v>1854.06</v>
      </c>
      <c r="P13" s="504">
        <v>1872.631</v>
      </c>
      <c r="Q13" s="504">
        <v>1888.29</v>
      </c>
      <c r="R13" s="504">
        <v>1894.649</v>
      </c>
      <c r="S13" s="504">
        <v>1915.821</v>
      </c>
      <c r="T13" s="504">
        <v>1964.682</v>
      </c>
      <c r="U13" s="504">
        <v>2020.013</v>
      </c>
      <c r="V13" s="504">
        <v>2068.493</v>
      </c>
      <c r="W13" s="504">
        <v>2099.09</v>
      </c>
      <c r="X13" s="504">
        <v>2120.322</v>
      </c>
      <c r="Y13" s="504">
        <v>2163.675</v>
      </c>
      <c r="Z13" s="504">
        <v>2197.831</v>
      </c>
      <c r="AA13" s="504">
        <v>2237.122</v>
      </c>
      <c r="AB13" s="504">
        <v>2278.121</v>
      </c>
      <c r="AC13" s="481">
        <f t="shared" si="2"/>
        <v>1.832667150025813</v>
      </c>
      <c r="AD13" s="294" t="s">
        <v>14</v>
      </c>
    </row>
    <row r="14" spans="1:30" ht="12.75" customHeight="1">
      <c r="A14" s="114"/>
      <c r="B14" s="102" t="s">
        <v>63</v>
      </c>
      <c r="C14" s="928">
        <v>15107.079</v>
      </c>
      <c r="D14" s="928">
        <v>25869.616000000005</v>
      </c>
      <c r="E14" s="268">
        <v>36772</v>
      </c>
      <c r="F14" s="268">
        <v>37947</v>
      </c>
      <c r="G14" s="268">
        <v>38892</v>
      </c>
      <c r="H14" s="268">
        <v>39202.066</v>
      </c>
      <c r="I14" s="268">
        <v>39917.577</v>
      </c>
      <c r="J14" s="268">
        <v>40499.442</v>
      </c>
      <c r="K14" s="931">
        <v>41045.217</v>
      </c>
      <c r="L14" s="268">
        <v>36924.647</v>
      </c>
      <c r="M14" s="268">
        <v>37553.549</v>
      </c>
      <c r="N14" s="268">
        <v>38426.776</v>
      </c>
      <c r="O14" s="268">
        <v>39058.937</v>
      </c>
      <c r="P14" s="268">
        <v>39388.319</v>
      </c>
      <c r="Q14" s="268">
        <v>39720.951</v>
      </c>
      <c r="R14" s="268">
        <v>40017.482</v>
      </c>
      <c r="S14" s="268">
        <v>40179.477</v>
      </c>
      <c r="T14" s="268">
        <v>40659.5</v>
      </c>
      <c r="U14" s="268">
        <v>41019.7</v>
      </c>
      <c r="V14" s="268">
        <v>41183.594</v>
      </c>
      <c r="W14" s="268">
        <v>41321.171</v>
      </c>
      <c r="X14" s="268">
        <v>41737.627</v>
      </c>
      <c r="Y14" s="268">
        <v>42301.563</v>
      </c>
      <c r="Z14" s="268">
        <v>42928</v>
      </c>
      <c r="AA14" s="268">
        <v>43431</v>
      </c>
      <c r="AB14" s="268">
        <v>43851.23</v>
      </c>
      <c r="AC14" s="216">
        <f t="shared" si="2"/>
        <v>0.9675807602864523</v>
      </c>
      <c r="AD14" s="102" t="s">
        <v>63</v>
      </c>
    </row>
    <row r="15" spans="1:30" ht="12.75" customHeight="1">
      <c r="A15" s="114"/>
      <c r="B15" s="294" t="s">
        <v>64</v>
      </c>
      <c r="C15" s="929">
        <v>30</v>
      </c>
      <c r="D15" s="929">
        <v>127</v>
      </c>
      <c r="E15" s="504">
        <v>241</v>
      </c>
      <c r="F15" s="504">
        <v>261</v>
      </c>
      <c r="G15" s="504">
        <v>284</v>
      </c>
      <c r="H15" s="504">
        <v>317.425</v>
      </c>
      <c r="I15" s="504">
        <v>337.812</v>
      </c>
      <c r="J15" s="504">
        <v>383.444</v>
      </c>
      <c r="K15" s="504">
        <v>406.598</v>
      </c>
      <c r="L15" s="504">
        <v>427.678</v>
      </c>
      <c r="M15" s="504">
        <v>450.954</v>
      </c>
      <c r="N15" s="504">
        <v>458.7</v>
      </c>
      <c r="O15" s="504">
        <v>463.9</v>
      </c>
      <c r="P15" s="504">
        <v>407.3</v>
      </c>
      <c r="Q15" s="504">
        <v>400.7</v>
      </c>
      <c r="R15" s="504">
        <v>434</v>
      </c>
      <c r="S15" s="504">
        <v>471.2</v>
      </c>
      <c r="T15" s="504">
        <v>493.78</v>
      </c>
      <c r="U15" s="930">
        <v>554.012</v>
      </c>
      <c r="V15" s="504">
        <v>523.766</v>
      </c>
      <c r="W15" s="504">
        <v>551.83</v>
      </c>
      <c r="X15" s="504">
        <v>545.7</v>
      </c>
      <c r="Y15" s="504">
        <v>552.7</v>
      </c>
      <c r="Z15" s="504">
        <v>574</v>
      </c>
      <c r="AA15" s="504">
        <v>602.1</v>
      </c>
      <c r="AB15" s="504">
        <v>628.5</v>
      </c>
      <c r="AC15" s="481">
        <f t="shared" si="2"/>
        <v>4.38465371200796</v>
      </c>
      <c r="AD15" s="294" t="s">
        <v>64</v>
      </c>
    </row>
    <row r="16" spans="1:30" ht="12.75" customHeight="1">
      <c r="A16" s="114"/>
      <c r="B16" s="102" t="s">
        <v>68</v>
      </c>
      <c r="C16" s="928">
        <v>393.459</v>
      </c>
      <c r="D16" s="928">
        <v>738.114</v>
      </c>
      <c r="E16" s="268">
        <f>796.408+4.977</f>
        <v>801.385</v>
      </c>
      <c r="F16" s="268">
        <f>836.583+5.363</f>
        <v>841.946</v>
      </c>
      <c r="G16" s="268">
        <f>858.498+5.711</f>
        <v>864.2090000000001</v>
      </c>
      <c r="H16" s="268">
        <f>891.027+6.144</f>
        <v>897.171</v>
      </c>
      <c r="I16" s="268">
        <f>939.022+6.925</f>
        <v>945.947</v>
      </c>
      <c r="J16" s="268">
        <f>990.384+8.086</f>
        <v>998.47</v>
      </c>
      <c r="K16" s="268">
        <f>1057.383+9.219</f>
        <v>1066.602</v>
      </c>
      <c r="L16" s="268">
        <f>1134.429+10.34</f>
        <v>1144.769</v>
      </c>
      <c r="M16" s="268">
        <f>1196.901+11.249</f>
        <v>1208.15</v>
      </c>
      <c r="N16" s="268">
        <f>1269.245+13.076</f>
        <v>1282.321</v>
      </c>
      <c r="O16" s="268">
        <f>1319.25+13.637</f>
        <v>1332.887</v>
      </c>
      <c r="P16" s="268">
        <f>1384.704+16.547</f>
        <v>1401.251</v>
      </c>
      <c r="Q16" s="268">
        <f>1447.908+18.252</f>
        <v>1466.1599999999999</v>
      </c>
      <c r="R16" s="268">
        <f>1507.106+19.856</f>
        <v>1526.962</v>
      </c>
      <c r="S16" s="268">
        <f>1582.833+20.744</f>
        <v>1603.577</v>
      </c>
      <c r="T16" s="268">
        <f>1662.157+21.888</f>
        <v>1684.0449999999998</v>
      </c>
      <c r="U16" s="268">
        <f>1778.861+23.284</f>
        <v>1802.1450000000002</v>
      </c>
      <c r="V16" s="268">
        <f>1882.901+26.654</f>
        <v>1909.555</v>
      </c>
      <c r="W16" s="268">
        <f>1924.281+29.053</f>
        <v>1953.334</v>
      </c>
      <c r="X16" s="268">
        <f>1902.429+28.284</f>
        <v>1930.7130000000002</v>
      </c>
      <c r="Y16" s="268">
        <f>1872.715+26.68</f>
        <v>1899.395</v>
      </c>
      <c r="Z16" s="268">
        <f>1887.81+25.129</f>
        <v>1912.9389999999999</v>
      </c>
      <c r="AA16" s="268">
        <f>1882.55+24.18</f>
        <v>1906.73</v>
      </c>
      <c r="AB16" s="268">
        <f>1910.165+22.964</f>
        <v>1933.129</v>
      </c>
      <c r="AC16" s="216">
        <f t="shared" si="2"/>
        <v>1.3845169478636166</v>
      </c>
      <c r="AD16" s="102" t="s">
        <v>68</v>
      </c>
    </row>
    <row r="17" spans="1:30" ht="12.75" customHeight="1">
      <c r="A17" s="114"/>
      <c r="B17" s="294" t="s">
        <v>15</v>
      </c>
      <c r="C17" s="929">
        <v>226.893</v>
      </c>
      <c r="D17" s="929">
        <v>862.609</v>
      </c>
      <c r="E17" s="504">
        <v>1735.523</v>
      </c>
      <c r="F17" s="504">
        <v>1777.484</v>
      </c>
      <c r="G17" s="504">
        <v>1829.1</v>
      </c>
      <c r="H17" s="504">
        <v>1958.544</v>
      </c>
      <c r="I17" s="504">
        <v>2074.081</v>
      </c>
      <c r="J17" s="504">
        <v>2204.761</v>
      </c>
      <c r="K17" s="504">
        <v>2339.421</v>
      </c>
      <c r="L17" s="504">
        <v>2500.099</v>
      </c>
      <c r="M17" s="504">
        <v>2675.676</v>
      </c>
      <c r="N17" s="504">
        <v>2928.881</v>
      </c>
      <c r="O17" s="504">
        <v>3195.065</v>
      </c>
      <c r="P17" s="504">
        <v>3423.704</v>
      </c>
      <c r="Q17" s="504">
        <v>3646.069</v>
      </c>
      <c r="R17" s="504">
        <v>3839.549</v>
      </c>
      <c r="S17" s="504">
        <v>4073.511</v>
      </c>
      <c r="T17" s="504">
        <v>4303.129</v>
      </c>
      <c r="U17" s="504">
        <v>4543.016</v>
      </c>
      <c r="V17" s="504">
        <v>4798.53</v>
      </c>
      <c r="W17" s="504">
        <v>5023.944</v>
      </c>
      <c r="X17" s="504">
        <v>5131.96</v>
      </c>
      <c r="Y17" s="504">
        <v>5216.873</v>
      </c>
      <c r="Z17" s="504">
        <v>5203.591</v>
      </c>
      <c r="AA17" s="504">
        <v>5167.557</v>
      </c>
      <c r="AB17" s="504">
        <v>5124.208</v>
      </c>
      <c r="AC17" s="481">
        <f t="shared" si="2"/>
        <v>-0.838868347267379</v>
      </c>
      <c r="AD17" s="294" t="s">
        <v>15</v>
      </c>
    </row>
    <row r="18" spans="1:30" ht="12.75" customHeight="1">
      <c r="A18" s="114"/>
      <c r="B18" s="102" t="s">
        <v>66</v>
      </c>
      <c r="C18" s="928">
        <v>2378</v>
      </c>
      <c r="D18" s="928">
        <v>7556.511</v>
      </c>
      <c r="E18" s="268">
        <v>11995.64</v>
      </c>
      <c r="F18" s="268">
        <v>12537.099</v>
      </c>
      <c r="G18" s="268">
        <v>13102.285</v>
      </c>
      <c r="H18" s="268">
        <v>13440.694</v>
      </c>
      <c r="I18" s="268">
        <v>13733.794</v>
      </c>
      <c r="J18" s="268">
        <v>14212.259</v>
      </c>
      <c r="K18" s="268">
        <v>14753.809</v>
      </c>
      <c r="L18" s="268">
        <v>15297.366</v>
      </c>
      <c r="M18" s="268">
        <v>16050.057</v>
      </c>
      <c r="N18" s="268">
        <v>16847.397</v>
      </c>
      <c r="O18" s="268">
        <v>17449.235</v>
      </c>
      <c r="P18" s="268">
        <v>18150.88</v>
      </c>
      <c r="Q18" s="931">
        <v>18732.632</v>
      </c>
      <c r="R18" s="268">
        <v>18688.32</v>
      </c>
      <c r="S18" s="268">
        <v>19541.918</v>
      </c>
      <c r="T18" s="268">
        <v>20250.377</v>
      </c>
      <c r="U18" s="268">
        <v>20908.725</v>
      </c>
      <c r="V18" s="268">
        <v>21760.174</v>
      </c>
      <c r="W18" s="268">
        <v>22145.364</v>
      </c>
      <c r="X18" s="268">
        <v>21983.485</v>
      </c>
      <c r="Y18" s="268">
        <v>22147.455</v>
      </c>
      <c r="Z18" s="268">
        <v>22277</v>
      </c>
      <c r="AA18" s="268">
        <v>22247.528</v>
      </c>
      <c r="AB18" s="268">
        <v>22024.538</v>
      </c>
      <c r="AC18" s="216">
        <f t="shared" si="2"/>
        <v>-1.0023136053587507</v>
      </c>
      <c r="AD18" s="102" t="s">
        <v>66</v>
      </c>
    </row>
    <row r="19" spans="1:30" ht="12.75" customHeight="1">
      <c r="A19" s="114"/>
      <c r="B19" s="294" t="s">
        <v>67</v>
      </c>
      <c r="C19" s="929">
        <v>11900</v>
      </c>
      <c r="D19" s="929">
        <v>19100</v>
      </c>
      <c r="E19" s="504">
        <v>27071.642</v>
      </c>
      <c r="F19" s="504">
        <v>27309.644</v>
      </c>
      <c r="G19" s="504">
        <v>27596.041</v>
      </c>
      <c r="H19" s="504">
        <v>27680.285</v>
      </c>
      <c r="I19" s="504">
        <v>27761.922</v>
      </c>
      <c r="J19" s="504">
        <v>27872.067</v>
      </c>
      <c r="K19" s="504">
        <v>28017.221</v>
      </c>
      <c r="L19" s="504">
        <v>28201.321</v>
      </c>
      <c r="M19" s="504">
        <v>28627.36</v>
      </c>
      <c r="N19" s="504">
        <v>29272.165</v>
      </c>
      <c r="O19" s="504">
        <v>29807.799</v>
      </c>
      <c r="P19" s="504">
        <v>30330.382</v>
      </c>
      <c r="Q19" s="504">
        <v>30590.743</v>
      </c>
      <c r="R19" s="504">
        <v>30582.717</v>
      </c>
      <c r="S19" s="504">
        <v>30537.244</v>
      </c>
      <c r="T19" s="504">
        <v>30497.013</v>
      </c>
      <c r="U19" s="504">
        <v>31002.304</v>
      </c>
      <c r="V19" s="504">
        <v>31442.88</v>
      </c>
      <c r="W19" s="504">
        <v>31109.081</v>
      </c>
      <c r="X19" s="504">
        <v>31393.734</v>
      </c>
      <c r="Y19" s="504">
        <v>31656.747</v>
      </c>
      <c r="Z19" s="504">
        <v>31753.535</v>
      </c>
      <c r="AA19" s="504">
        <v>32131.584</v>
      </c>
      <c r="AB19" s="504">
        <v>32243.826</v>
      </c>
      <c r="AC19" s="481">
        <f t="shared" si="2"/>
        <v>0.34931984679001005</v>
      </c>
      <c r="AD19" s="294" t="s">
        <v>67</v>
      </c>
    </row>
    <row r="20" spans="1:30" ht="12.75" customHeight="1">
      <c r="A20" s="114"/>
      <c r="B20" s="102" t="s">
        <v>148</v>
      </c>
      <c r="C20" s="928" t="s">
        <v>99</v>
      </c>
      <c r="D20" s="928" t="s">
        <v>99</v>
      </c>
      <c r="E20" s="863">
        <v>580</v>
      </c>
      <c r="F20" s="863">
        <v>600</v>
      </c>
      <c r="G20" s="863">
        <v>620</v>
      </c>
      <c r="H20" s="268">
        <v>646.21</v>
      </c>
      <c r="I20" s="268">
        <v>698.391</v>
      </c>
      <c r="J20" s="268">
        <v>710.91</v>
      </c>
      <c r="K20" s="268">
        <v>835.714</v>
      </c>
      <c r="L20" s="268">
        <v>932.278</v>
      </c>
      <c r="M20" s="268">
        <v>1000.052</v>
      </c>
      <c r="N20" s="268">
        <v>1063.546</v>
      </c>
      <c r="O20" s="268">
        <v>1124.825</v>
      </c>
      <c r="P20" s="268">
        <v>1195.45</v>
      </c>
      <c r="Q20" s="268">
        <v>1244.252</v>
      </c>
      <c r="R20" s="268">
        <v>1293.421</v>
      </c>
      <c r="S20" s="268">
        <v>1337.538</v>
      </c>
      <c r="T20" s="268">
        <v>1384.699</v>
      </c>
      <c r="U20" s="268">
        <v>1435.781</v>
      </c>
      <c r="V20" s="268">
        <v>1491.127</v>
      </c>
      <c r="W20" s="931">
        <v>1535.28</v>
      </c>
      <c r="X20" s="268">
        <v>1532.549</v>
      </c>
      <c r="Y20" s="268">
        <v>1515.449</v>
      </c>
      <c r="Z20" s="268">
        <v>1518.278</v>
      </c>
      <c r="AA20" s="268">
        <v>1445.22</v>
      </c>
      <c r="AB20" s="268">
        <v>1448.299</v>
      </c>
      <c r="AC20" s="216">
        <f t="shared" si="2"/>
        <v>0.21304714853100393</v>
      </c>
      <c r="AD20" s="102" t="s">
        <v>148</v>
      </c>
    </row>
    <row r="21" spans="1:30" ht="12.75" customHeight="1">
      <c r="A21" s="114"/>
      <c r="B21" s="294" t="s">
        <v>69</v>
      </c>
      <c r="C21" s="929">
        <v>10181.192</v>
      </c>
      <c r="D21" s="929">
        <v>17686.236</v>
      </c>
      <c r="E21" s="504">
        <v>27415.828</v>
      </c>
      <c r="F21" s="504">
        <v>28434.923</v>
      </c>
      <c r="G21" s="504">
        <v>29429.628</v>
      </c>
      <c r="H21" s="504">
        <v>29652.024</v>
      </c>
      <c r="I21" s="504">
        <v>29665.308</v>
      </c>
      <c r="J21" s="504">
        <v>30301.424</v>
      </c>
      <c r="K21" s="504">
        <v>30467.173</v>
      </c>
      <c r="L21" s="504">
        <v>30741.953</v>
      </c>
      <c r="M21" s="504">
        <v>31370.765</v>
      </c>
      <c r="N21" s="504">
        <v>32038.291</v>
      </c>
      <c r="O21" s="504">
        <v>32583.815</v>
      </c>
      <c r="P21" s="504">
        <v>33239.029</v>
      </c>
      <c r="Q21" s="504">
        <v>33706.153</v>
      </c>
      <c r="R21" s="504">
        <v>34310.446</v>
      </c>
      <c r="S21" s="504">
        <v>33973.147</v>
      </c>
      <c r="T21" s="504">
        <v>34667.485</v>
      </c>
      <c r="U21" s="504">
        <v>35297.282</v>
      </c>
      <c r="V21" s="504">
        <v>35680.097</v>
      </c>
      <c r="W21" s="504">
        <v>36105.183</v>
      </c>
      <c r="X21" s="504">
        <v>36372</v>
      </c>
      <c r="Y21" s="504">
        <v>36751</v>
      </c>
      <c r="Z21" s="504">
        <v>37113</v>
      </c>
      <c r="AA21" s="504">
        <v>37078</v>
      </c>
      <c r="AB21" s="504">
        <v>36962.934</v>
      </c>
      <c r="AC21" s="481">
        <f t="shared" si="2"/>
        <v>-0.31033496952370854</v>
      </c>
      <c r="AD21" s="294" t="s">
        <v>69</v>
      </c>
    </row>
    <row r="22" spans="1:30" ht="12.75" customHeight="1">
      <c r="A22" s="114"/>
      <c r="B22" s="102" t="s">
        <v>71</v>
      </c>
      <c r="C22" s="928">
        <v>60</v>
      </c>
      <c r="D22" s="928">
        <v>90</v>
      </c>
      <c r="E22" s="268">
        <v>178.602</v>
      </c>
      <c r="F22" s="268">
        <v>190</v>
      </c>
      <c r="G22" s="268">
        <v>200</v>
      </c>
      <c r="H22" s="268">
        <v>203.61</v>
      </c>
      <c r="I22" s="268">
        <v>210.365</v>
      </c>
      <c r="J22" s="268">
        <v>219.749</v>
      </c>
      <c r="K22" s="268">
        <v>226.832</v>
      </c>
      <c r="L22" s="268">
        <v>234.976</v>
      </c>
      <c r="M22" s="268">
        <v>249.225</v>
      </c>
      <c r="N22" s="268">
        <v>256.989</v>
      </c>
      <c r="O22" s="268">
        <v>267.589</v>
      </c>
      <c r="P22" s="931">
        <v>280.069</v>
      </c>
      <c r="Q22" s="268">
        <v>287.622</v>
      </c>
      <c r="R22" s="268">
        <v>302.501</v>
      </c>
      <c r="S22" s="268">
        <v>335.634</v>
      </c>
      <c r="T22" s="268">
        <v>355.134</v>
      </c>
      <c r="U22" s="268">
        <v>372.945</v>
      </c>
      <c r="V22" s="268">
        <v>410.936</v>
      </c>
      <c r="W22" s="268">
        <v>443.517</v>
      </c>
      <c r="X22" s="268">
        <v>460.504</v>
      </c>
      <c r="Y22" s="268">
        <v>462.652</v>
      </c>
      <c r="Z22" s="268">
        <v>470</v>
      </c>
      <c r="AA22" s="268">
        <v>475.462</v>
      </c>
      <c r="AB22" s="268">
        <v>474.561</v>
      </c>
      <c r="AC22" s="216">
        <f t="shared" si="2"/>
        <v>-0.18949989694235114</v>
      </c>
      <c r="AD22" s="102" t="s">
        <v>71</v>
      </c>
    </row>
    <row r="23" spans="1:30" ht="12.75" customHeight="1">
      <c r="A23" s="114"/>
      <c r="B23" s="294" t="s">
        <v>72</v>
      </c>
      <c r="C23" s="929">
        <v>40</v>
      </c>
      <c r="D23" s="929">
        <v>166</v>
      </c>
      <c r="E23" s="504">
        <v>283</v>
      </c>
      <c r="F23" s="504">
        <v>329</v>
      </c>
      <c r="G23" s="504">
        <v>350</v>
      </c>
      <c r="H23" s="930">
        <v>367.475</v>
      </c>
      <c r="I23" s="504">
        <v>251.593</v>
      </c>
      <c r="J23" s="504">
        <v>332</v>
      </c>
      <c r="K23" s="504">
        <v>379.895</v>
      </c>
      <c r="L23" s="504">
        <v>431.816</v>
      </c>
      <c r="M23" s="504">
        <v>482.67</v>
      </c>
      <c r="N23" s="504">
        <v>525.572</v>
      </c>
      <c r="O23" s="504">
        <v>556.8</v>
      </c>
      <c r="P23" s="504">
        <v>586.2</v>
      </c>
      <c r="Q23" s="504">
        <v>619.1</v>
      </c>
      <c r="R23" s="504">
        <v>648.9</v>
      </c>
      <c r="S23" s="504">
        <v>686.128</v>
      </c>
      <c r="T23" s="504">
        <v>742.447</v>
      </c>
      <c r="U23" s="504">
        <v>822.011</v>
      </c>
      <c r="V23" s="504">
        <v>904.869</v>
      </c>
      <c r="W23" s="504">
        <v>932.828</v>
      </c>
      <c r="X23" s="504">
        <v>904.308</v>
      </c>
      <c r="Y23" s="932">
        <v>636.664</v>
      </c>
      <c r="Z23" s="504">
        <v>612.32</v>
      </c>
      <c r="AA23" s="504">
        <v>618.274</v>
      </c>
      <c r="AB23" s="504">
        <v>634.603</v>
      </c>
      <c r="AC23" s="481">
        <f t="shared" si="2"/>
        <v>2.64106205339381</v>
      </c>
      <c r="AD23" s="294" t="s">
        <v>72</v>
      </c>
    </row>
    <row r="24" spans="1:30" s="157" customFormat="1" ht="12.75" customHeight="1">
      <c r="A24" s="206"/>
      <c r="B24" s="102" t="s">
        <v>73</v>
      </c>
      <c r="C24" s="928">
        <v>43.7</v>
      </c>
      <c r="D24" s="928">
        <v>247</v>
      </c>
      <c r="E24" s="268">
        <v>493</v>
      </c>
      <c r="F24" s="268">
        <v>531</v>
      </c>
      <c r="G24" s="268">
        <v>565</v>
      </c>
      <c r="H24" s="268">
        <v>597.735</v>
      </c>
      <c r="I24" s="268">
        <v>652.81</v>
      </c>
      <c r="J24" s="268">
        <v>718.469</v>
      </c>
      <c r="K24" s="268">
        <v>785.088</v>
      </c>
      <c r="L24" s="268">
        <v>882.101</v>
      </c>
      <c r="M24" s="268">
        <v>980.91</v>
      </c>
      <c r="N24" s="268">
        <v>1089.334</v>
      </c>
      <c r="O24" s="268">
        <v>1172.394</v>
      </c>
      <c r="P24" s="268">
        <v>1133.477</v>
      </c>
      <c r="Q24" s="268">
        <v>1180.945</v>
      </c>
      <c r="R24" s="268">
        <v>1256.853</v>
      </c>
      <c r="S24" s="268">
        <v>1315.914</v>
      </c>
      <c r="T24" s="268">
        <v>1455.276</v>
      </c>
      <c r="U24" s="268">
        <v>1592.238</v>
      </c>
      <c r="V24" s="268">
        <v>1587.903</v>
      </c>
      <c r="W24" s="268">
        <v>1671.065</v>
      </c>
      <c r="X24" s="268">
        <v>1695.286</v>
      </c>
      <c r="Y24" s="268">
        <v>1691.855</v>
      </c>
      <c r="Z24" s="268">
        <v>1713.3</v>
      </c>
      <c r="AA24" s="268">
        <v>1753.407</v>
      </c>
      <c r="AB24" s="268">
        <f>1808.982</f>
        <v>1808.982</v>
      </c>
      <c r="AC24" s="216">
        <f t="shared" si="2"/>
        <v>3.16954363704491</v>
      </c>
      <c r="AD24" s="102" t="s">
        <v>73</v>
      </c>
    </row>
    <row r="25" spans="1:30" ht="12.75" customHeight="1">
      <c r="A25" s="114"/>
      <c r="B25" s="294" t="s">
        <v>76</v>
      </c>
      <c r="C25" s="929">
        <v>72</v>
      </c>
      <c r="D25" s="929">
        <v>128.6</v>
      </c>
      <c r="E25" s="504">
        <v>183.404</v>
      </c>
      <c r="F25" s="504">
        <v>192</v>
      </c>
      <c r="G25" s="504">
        <v>201</v>
      </c>
      <c r="H25" s="504">
        <v>208</v>
      </c>
      <c r="I25" s="504">
        <v>217.754</v>
      </c>
      <c r="J25" s="504">
        <v>229.037</v>
      </c>
      <c r="K25" s="504">
        <v>231.666</v>
      </c>
      <c r="L25" s="504">
        <v>236.834</v>
      </c>
      <c r="M25" s="504">
        <v>253.406</v>
      </c>
      <c r="N25" s="504">
        <v>263.475</v>
      </c>
      <c r="O25" s="504">
        <v>273.086</v>
      </c>
      <c r="P25" s="504">
        <v>280.709</v>
      </c>
      <c r="Q25" s="504">
        <v>287.245</v>
      </c>
      <c r="R25" s="504">
        <v>293.398</v>
      </c>
      <c r="S25" s="504">
        <v>299.759</v>
      </c>
      <c r="T25" s="504">
        <f>211.567+92.927+2.771</f>
        <v>307.26500000000004</v>
      </c>
      <c r="U25" s="504">
        <f>208.15+104.392+2.162</f>
        <v>314.704</v>
      </c>
      <c r="V25" s="504">
        <f>204.895+114.963+1.662</f>
        <v>321.52</v>
      </c>
      <c r="W25" s="504">
        <f>200.038+127.697+1.303</f>
        <v>329.038</v>
      </c>
      <c r="X25" s="504">
        <f>191.197+139.28+1.026</f>
        <v>331.503</v>
      </c>
      <c r="Y25" s="504">
        <f>184.633+151.812+0.794</f>
        <v>337.23900000000003</v>
      </c>
      <c r="Z25" s="504">
        <f>207.642+137.309+0.624</f>
        <v>345.57500000000005</v>
      </c>
      <c r="AA25" s="504">
        <f>207.902+147.456+0.492</f>
        <v>355.84999999999997</v>
      </c>
      <c r="AB25" s="504">
        <f>205.132+157.747+0.368</f>
        <v>363.247</v>
      </c>
      <c r="AC25" s="481">
        <f t="shared" si="2"/>
        <v>2.0786848391176136</v>
      </c>
      <c r="AD25" s="294" t="s">
        <v>76</v>
      </c>
    </row>
    <row r="26" spans="1:30" s="157" customFormat="1" ht="12.75" customHeight="1">
      <c r="A26" s="206"/>
      <c r="B26" s="102" t="s">
        <v>77</v>
      </c>
      <c r="C26" s="928">
        <v>240</v>
      </c>
      <c r="D26" s="928">
        <v>1010</v>
      </c>
      <c r="E26" s="268">
        <v>1944</v>
      </c>
      <c r="F26" s="268">
        <v>2020</v>
      </c>
      <c r="G26" s="268">
        <v>2058</v>
      </c>
      <c r="H26" s="268">
        <v>2093.529</v>
      </c>
      <c r="I26" s="268">
        <v>2178.891</v>
      </c>
      <c r="J26" s="268">
        <v>2244.946</v>
      </c>
      <c r="K26" s="268">
        <v>2265.18</v>
      </c>
      <c r="L26" s="268">
        <v>2297.964</v>
      </c>
      <c r="M26" s="268">
        <v>2218.124</v>
      </c>
      <c r="N26" s="268">
        <v>2255.526</v>
      </c>
      <c r="O26" s="268">
        <v>2364.706</v>
      </c>
      <c r="P26" s="268">
        <v>2482.827</v>
      </c>
      <c r="Q26" s="268">
        <v>2629.526</v>
      </c>
      <c r="R26" s="268">
        <v>2777.219</v>
      </c>
      <c r="S26" s="268">
        <v>2828.433</v>
      </c>
      <c r="T26" s="268">
        <v>2888.735</v>
      </c>
      <c r="U26" s="268">
        <v>2953.737</v>
      </c>
      <c r="V26" s="268">
        <v>3012.165</v>
      </c>
      <c r="W26" s="268">
        <v>3055.427</v>
      </c>
      <c r="X26" s="268">
        <v>3013.719</v>
      </c>
      <c r="Y26" s="268">
        <v>2984.063</v>
      </c>
      <c r="Z26" s="268">
        <v>2967.808</v>
      </c>
      <c r="AA26" s="268">
        <v>2986.028</v>
      </c>
      <c r="AB26" s="268">
        <f>3040.732</f>
        <v>3040.732</v>
      </c>
      <c r="AC26" s="216">
        <f t="shared" si="2"/>
        <v>1.8319988961925446</v>
      </c>
      <c r="AD26" s="102" t="s">
        <v>77</v>
      </c>
    </row>
    <row r="27" spans="1:30" ht="12.75" customHeight="1">
      <c r="A27" s="114"/>
      <c r="B27" s="294" t="s">
        <v>78</v>
      </c>
      <c r="C27" s="929" t="s">
        <v>99</v>
      </c>
      <c r="D27" s="929" t="s">
        <v>99</v>
      </c>
      <c r="E27" s="875">
        <v>120</v>
      </c>
      <c r="F27" s="504">
        <v>122</v>
      </c>
      <c r="G27" s="504">
        <v>125</v>
      </c>
      <c r="H27" s="504">
        <v>152.613</v>
      </c>
      <c r="I27" s="504">
        <v>170.635</v>
      </c>
      <c r="J27" s="504">
        <v>180.851</v>
      </c>
      <c r="K27" s="504">
        <v>182</v>
      </c>
      <c r="L27" s="930">
        <f>177.651+6.123</f>
        <v>183.774</v>
      </c>
      <c r="M27" s="504">
        <f>0.863+169.542+4.136+0.245</f>
        <v>174.786</v>
      </c>
      <c r="N27" s="504">
        <f>0.966+176.264+4.777+0.245</f>
        <v>182.252</v>
      </c>
      <c r="O27" s="504">
        <f>1.034+182.105+5.738+0.246</f>
        <v>189.123</v>
      </c>
      <c r="P27" s="504">
        <f>1.116+188.495+5.521+0.247</f>
        <v>195.37900000000002</v>
      </c>
      <c r="Q27" s="504">
        <f>1.165+195.055+5.454+0.247</f>
        <v>201.92100000000002</v>
      </c>
      <c r="R27" s="504">
        <f>1.194+201.924+5.447+0.247</f>
        <v>208.812</v>
      </c>
      <c r="S27" s="504">
        <f>1.19+204.702+5.245+0.246</f>
        <v>211.383</v>
      </c>
      <c r="T27" s="504">
        <f>1.133+206.148+5.034+0.246</f>
        <v>212.561</v>
      </c>
      <c r="U27" s="504">
        <f>1.123+211.84+4.943+0.247</f>
        <v>218.15300000000002</v>
      </c>
      <c r="V27" s="504">
        <v>224.896</v>
      </c>
      <c r="W27" s="504">
        <v>229.38899999999998</v>
      </c>
      <c r="X27" s="504">
        <v>233.48600000000002</v>
      </c>
      <c r="Y27" s="932">
        <v>240.95999999999998</v>
      </c>
      <c r="Z27" s="504">
        <v>247.37499999999997</v>
      </c>
      <c r="AA27" s="504">
        <f>242.149+0.291+3.264+3.029+0.879</f>
        <v>249.612</v>
      </c>
      <c r="AB27" s="504">
        <f>248.245+0.292+4.1+2.551+0.908</f>
        <v>256.096</v>
      </c>
      <c r="AC27" s="481">
        <f t="shared" si="2"/>
        <v>2.597631524125447</v>
      </c>
      <c r="AD27" s="294" t="s">
        <v>78</v>
      </c>
    </row>
    <row r="28" spans="1:30" s="157" customFormat="1" ht="12.75" customHeight="1">
      <c r="A28" s="206"/>
      <c r="B28" s="102" t="s">
        <v>16</v>
      </c>
      <c r="C28" s="928">
        <v>2564</v>
      </c>
      <c r="D28" s="928">
        <v>4550</v>
      </c>
      <c r="E28" s="268">
        <v>5509.173</v>
      </c>
      <c r="F28" s="268">
        <v>5554</v>
      </c>
      <c r="G28" s="268">
        <v>5658</v>
      </c>
      <c r="H28" s="268">
        <v>5755</v>
      </c>
      <c r="I28" s="268">
        <v>5884</v>
      </c>
      <c r="J28" s="268">
        <v>5633</v>
      </c>
      <c r="K28" s="268">
        <v>5740</v>
      </c>
      <c r="L28" s="268">
        <v>5931.387</v>
      </c>
      <c r="M28" s="268">
        <v>6119.581</v>
      </c>
      <c r="N28" s="268">
        <v>6343.195</v>
      </c>
      <c r="O28" s="268">
        <v>6539.212</v>
      </c>
      <c r="P28" s="268">
        <v>6710.602</v>
      </c>
      <c r="Q28" s="268">
        <v>6854.743</v>
      </c>
      <c r="R28" s="268">
        <v>6908.473</v>
      </c>
      <c r="S28" s="268">
        <v>6991.991</v>
      </c>
      <c r="T28" s="268">
        <v>7092.293</v>
      </c>
      <c r="U28" s="268">
        <v>7230.178</v>
      </c>
      <c r="V28" s="268">
        <v>7391.903</v>
      </c>
      <c r="W28" s="268">
        <v>7542.331</v>
      </c>
      <c r="X28" s="268">
        <v>7622</v>
      </c>
      <c r="Y28" s="268">
        <v>7736</v>
      </c>
      <c r="Z28" s="268">
        <v>7859</v>
      </c>
      <c r="AA28" s="268">
        <v>7915.613</v>
      </c>
      <c r="AB28" s="268">
        <f>7932.29</f>
        <v>7932.29</v>
      </c>
      <c r="AC28" s="216">
        <f t="shared" si="2"/>
        <v>0.21068488315434308</v>
      </c>
      <c r="AD28" s="102" t="s">
        <v>16</v>
      </c>
    </row>
    <row r="29" spans="1:30" ht="12.75" customHeight="1">
      <c r="A29" s="114"/>
      <c r="B29" s="294" t="s">
        <v>81</v>
      </c>
      <c r="C29" s="929">
        <v>1197</v>
      </c>
      <c r="D29" s="929">
        <v>2247</v>
      </c>
      <c r="E29" s="504">
        <v>2991</v>
      </c>
      <c r="F29" s="504">
        <v>3100</v>
      </c>
      <c r="G29" s="504">
        <v>3245</v>
      </c>
      <c r="H29" s="504">
        <v>3367.626</v>
      </c>
      <c r="I29" s="504">
        <v>3479.595</v>
      </c>
      <c r="J29" s="504">
        <v>3593.588</v>
      </c>
      <c r="K29" s="504">
        <v>3690.692</v>
      </c>
      <c r="L29" s="504">
        <v>3782.543</v>
      </c>
      <c r="M29" s="504">
        <v>3887.174</v>
      </c>
      <c r="N29" s="504">
        <v>4009.604</v>
      </c>
      <c r="O29" s="504">
        <v>4097.145</v>
      </c>
      <c r="P29" s="930">
        <v>4182.027</v>
      </c>
      <c r="Q29" s="504">
        <v>3987.093</v>
      </c>
      <c r="R29" s="504">
        <v>4054.308</v>
      </c>
      <c r="S29" s="504">
        <v>4109.129</v>
      </c>
      <c r="T29" s="504">
        <v>4156.743</v>
      </c>
      <c r="U29" s="504">
        <v>4204.969</v>
      </c>
      <c r="V29" s="504">
        <v>4245.583</v>
      </c>
      <c r="W29" s="504">
        <v>4284.919</v>
      </c>
      <c r="X29" s="504">
        <v>4359.944</v>
      </c>
      <c r="Y29" s="504">
        <v>4441.027</v>
      </c>
      <c r="Z29" s="504">
        <v>4513.421</v>
      </c>
      <c r="AA29" s="504">
        <v>4584.202</v>
      </c>
      <c r="AB29" s="504">
        <v>4641.308</v>
      </c>
      <c r="AC29" s="481">
        <f t="shared" si="2"/>
        <v>1.2457129943226732</v>
      </c>
      <c r="AD29" s="294" t="s">
        <v>81</v>
      </c>
    </row>
    <row r="30" spans="1:30" s="157" customFormat="1" ht="12.75" customHeight="1">
      <c r="A30" s="206"/>
      <c r="B30" s="102" t="s">
        <v>80</v>
      </c>
      <c r="C30" s="928">
        <v>479</v>
      </c>
      <c r="D30" s="928">
        <v>2380</v>
      </c>
      <c r="E30" s="268">
        <v>5261</v>
      </c>
      <c r="F30" s="268">
        <v>6110</v>
      </c>
      <c r="G30" s="268">
        <v>6505</v>
      </c>
      <c r="H30" s="268">
        <v>6770.557</v>
      </c>
      <c r="I30" s="268">
        <v>7153.141</v>
      </c>
      <c r="J30" s="268">
        <v>7517.266</v>
      </c>
      <c r="K30" s="268">
        <v>8054.448</v>
      </c>
      <c r="L30" s="268">
        <v>8533.449</v>
      </c>
      <c r="M30" s="268">
        <v>8890.763</v>
      </c>
      <c r="N30" s="268">
        <v>9282.9</v>
      </c>
      <c r="O30" s="268">
        <v>9991.3</v>
      </c>
      <c r="P30" s="268">
        <v>10503.1</v>
      </c>
      <c r="Q30" s="268">
        <v>11028.9</v>
      </c>
      <c r="R30" s="268">
        <v>11243.8</v>
      </c>
      <c r="S30" s="268">
        <v>11975.191</v>
      </c>
      <c r="T30" s="268">
        <v>12339.353</v>
      </c>
      <c r="U30" s="268">
        <v>13384.229</v>
      </c>
      <c r="V30" s="268">
        <v>14588.739</v>
      </c>
      <c r="W30" s="268">
        <v>16079.533</v>
      </c>
      <c r="X30" s="268">
        <v>16495</v>
      </c>
      <c r="Y30" s="268">
        <v>17239.8</v>
      </c>
      <c r="Z30" s="268">
        <v>18125</v>
      </c>
      <c r="AA30" s="268">
        <v>18744</v>
      </c>
      <c r="AB30" s="268">
        <v>19389.446</v>
      </c>
      <c r="AC30" s="216">
        <f t="shared" si="2"/>
        <v>3.443480580452402</v>
      </c>
      <c r="AD30" s="102" t="s">
        <v>80</v>
      </c>
    </row>
    <row r="31" spans="1:30" ht="12.75" customHeight="1">
      <c r="A31" s="114"/>
      <c r="B31" s="294" t="s">
        <v>92</v>
      </c>
      <c r="C31" s="929">
        <v>421</v>
      </c>
      <c r="D31" s="929">
        <v>1269</v>
      </c>
      <c r="E31" s="504">
        <v>1849</v>
      </c>
      <c r="F31" s="875">
        <v>1950</v>
      </c>
      <c r="G31" s="875">
        <v>2100</v>
      </c>
      <c r="H31" s="875">
        <v>2250</v>
      </c>
      <c r="I31" s="875">
        <v>2410</v>
      </c>
      <c r="J31" s="504">
        <v>2560</v>
      </c>
      <c r="K31" s="504">
        <v>2750</v>
      </c>
      <c r="L31" s="504">
        <v>2950</v>
      </c>
      <c r="M31" s="504">
        <v>3150</v>
      </c>
      <c r="N31" s="504">
        <v>3350</v>
      </c>
      <c r="O31" s="504">
        <v>3443</v>
      </c>
      <c r="P31" s="504">
        <v>3589</v>
      </c>
      <c r="Q31" s="504">
        <v>3885</v>
      </c>
      <c r="R31" s="504">
        <v>3966</v>
      </c>
      <c r="S31" s="504">
        <v>4100</v>
      </c>
      <c r="T31" s="504">
        <v>4200</v>
      </c>
      <c r="U31" s="504">
        <v>4290</v>
      </c>
      <c r="V31" s="504">
        <v>4379</v>
      </c>
      <c r="W31" s="504">
        <v>4408</v>
      </c>
      <c r="X31" s="504">
        <v>4457</v>
      </c>
      <c r="Y31" s="504">
        <v>4480</v>
      </c>
      <c r="Z31" s="504">
        <v>4522</v>
      </c>
      <c r="AA31" s="504">
        <v>4497</v>
      </c>
      <c r="AB31" s="868">
        <v>4480</v>
      </c>
      <c r="AC31" s="481">
        <f t="shared" si="2"/>
        <v>-0.37802979764288125</v>
      </c>
      <c r="AD31" s="294" t="s">
        <v>92</v>
      </c>
    </row>
    <row r="32" spans="1:30" s="157" customFormat="1" ht="12.75" customHeight="1">
      <c r="A32" s="206"/>
      <c r="B32" s="102" t="s">
        <v>102</v>
      </c>
      <c r="C32" s="928">
        <v>40</v>
      </c>
      <c r="D32" s="928">
        <v>240</v>
      </c>
      <c r="E32" s="268">
        <v>1292.283</v>
      </c>
      <c r="F32" s="268">
        <v>1431.566</v>
      </c>
      <c r="G32" s="268">
        <v>1593.029</v>
      </c>
      <c r="H32" s="268">
        <v>1793.054</v>
      </c>
      <c r="I32" s="268">
        <v>2020.017</v>
      </c>
      <c r="J32" s="268">
        <v>2197.477</v>
      </c>
      <c r="K32" s="268">
        <v>2326.177</v>
      </c>
      <c r="L32" s="268">
        <v>2447.087</v>
      </c>
      <c r="M32" s="268">
        <v>2594.571</v>
      </c>
      <c r="N32" s="268">
        <v>2702.021</v>
      </c>
      <c r="O32" s="268">
        <v>2777.594</v>
      </c>
      <c r="P32" s="268">
        <v>2881.191</v>
      </c>
      <c r="Q32" s="268">
        <v>2973.39</v>
      </c>
      <c r="R32" s="268">
        <v>3087.628</v>
      </c>
      <c r="S32" s="268">
        <v>3225.367</v>
      </c>
      <c r="T32" s="268">
        <v>3363.779</v>
      </c>
      <c r="U32" s="931">
        <v>3603.437</v>
      </c>
      <c r="V32" s="268">
        <v>3541.262</v>
      </c>
      <c r="W32" s="268">
        <v>4027.363</v>
      </c>
      <c r="X32" s="268">
        <v>4244.9</v>
      </c>
      <c r="Y32" s="268">
        <v>4319.701</v>
      </c>
      <c r="Z32" s="268">
        <v>4334.547</v>
      </c>
      <c r="AA32" s="268">
        <v>4487.251</v>
      </c>
      <c r="AB32" s="867">
        <v>4695.66</v>
      </c>
      <c r="AC32" s="216">
        <f t="shared" si="2"/>
        <v>4.644469408998958</v>
      </c>
      <c r="AD32" s="102" t="s">
        <v>102</v>
      </c>
    </row>
    <row r="33" spans="1:30" s="197" customFormat="1" ht="12.75" customHeight="1">
      <c r="A33" s="114"/>
      <c r="B33" s="294" t="s">
        <v>83</v>
      </c>
      <c r="C33" s="929">
        <v>150.807</v>
      </c>
      <c r="D33" s="929">
        <v>416.448</v>
      </c>
      <c r="E33" s="504">
        <v>587.104</v>
      </c>
      <c r="F33" s="504">
        <v>602.884</v>
      </c>
      <c r="G33" s="504">
        <v>606.245</v>
      </c>
      <c r="H33" s="504">
        <v>650.344</v>
      </c>
      <c r="I33" s="504">
        <v>668.307</v>
      </c>
      <c r="J33" s="504">
        <v>711.364</v>
      </c>
      <c r="K33" s="504">
        <v>743.057</v>
      </c>
      <c r="L33" s="504">
        <v>776.798</v>
      </c>
      <c r="M33" s="504">
        <v>811.671</v>
      </c>
      <c r="N33" s="504">
        <v>846.109</v>
      </c>
      <c r="O33" s="504">
        <v>866.096</v>
      </c>
      <c r="P33" s="504">
        <v>881.487</v>
      </c>
      <c r="Q33" s="504">
        <v>894.521</v>
      </c>
      <c r="R33" s="504">
        <v>910.429</v>
      </c>
      <c r="S33" s="504">
        <v>933.941</v>
      </c>
      <c r="T33" s="504">
        <v>960.213</v>
      </c>
      <c r="U33" s="504">
        <v>980.261</v>
      </c>
      <c r="V33" s="504">
        <v>1014.122</v>
      </c>
      <c r="W33" s="504">
        <v>1045.183</v>
      </c>
      <c r="X33" s="504">
        <v>1058.858</v>
      </c>
      <c r="Y33" s="504">
        <v>1061.646</v>
      </c>
      <c r="Z33" s="504">
        <v>1066.49</v>
      </c>
      <c r="AA33" s="504">
        <v>1066.028</v>
      </c>
      <c r="AB33" s="868">
        <f>1063.795</f>
        <v>1063.795</v>
      </c>
      <c r="AC33" s="481">
        <f t="shared" si="2"/>
        <v>-0.2094691696653399</v>
      </c>
      <c r="AD33" s="294" t="s">
        <v>83</v>
      </c>
    </row>
    <row r="34" spans="1:30" s="157" customFormat="1" ht="12.75" customHeight="1">
      <c r="A34" s="206"/>
      <c r="B34" s="102" t="s">
        <v>85</v>
      </c>
      <c r="C34" s="928">
        <v>164</v>
      </c>
      <c r="D34" s="928">
        <v>552</v>
      </c>
      <c r="E34" s="268">
        <v>880</v>
      </c>
      <c r="F34" s="268">
        <v>929</v>
      </c>
      <c r="G34" s="268">
        <v>971</v>
      </c>
      <c r="H34" s="268">
        <v>994.933</v>
      </c>
      <c r="I34" s="268">
        <v>994.046</v>
      </c>
      <c r="J34" s="268">
        <v>1015.794</v>
      </c>
      <c r="K34" s="268">
        <v>1058.425</v>
      </c>
      <c r="L34" s="268">
        <v>1135.914</v>
      </c>
      <c r="M34" s="268">
        <v>1196.109</v>
      </c>
      <c r="N34" s="268">
        <v>1236.4</v>
      </c>
      <c r="O34" s="268">
        <v>1274.2</v>
      </c>
      <c r="P34" s="268">
        <v>1292.8</v>
      </c>
      <c r="Q34" s="268">
        <v>1326.9</v>
      </c>
      <c r="R34" s="931">
        <v>1356.2</v>
      </c>
      <c r="S34" s="268">
        <v>1197.03</v>
      </c>
      <c r="T34" s="268">
        <v>1303.704</v>
      </c>
      <c r="U34" s="268">
        <v>1333.749</v>
      </c>
      <c r="V34" s="268">
        <v>1433.926</v>
      </c>
      <c r="W34" s="268">
        <v>1544.888</v>
      </c>
      <c r="X34" s="933">
        <v>1589.044</v>
      </c>
      <c r="Y34" s="933">
        <v>1669.065</v>
      </c>
      <c r="Z34" s="933">
        <v>1749.3</v>
      </c>
      <c r="AA34" s="933">
        <v>1824.19</v>
      </c>
      <c r="AB34" s="934">
        <f>1879.759</f>
        <v>1879.759</v>
      </c>
      <c r="AC34" s="527">
        <f t="shared" si="2"/>
        <v>3.0462287371381365</v>
      </c>
      <c r="AD34" s="102" t="s">
        <v>85</v>
      </c>
    </row>
    <row r="35" spans="1:30" ht="12.75" customHeight="1">
      <c r="A35" s="114"/>
      <c r="B35" s="294" t="s">
        <v>87</v>
      </c>
      <c r="C35" s="929">
        <v>712</v>
      </c>
      <c r="D35" s="929">
        <v>1226</v>
      </c>
      <c r="E35" s="504">
        <v>1938.856</v>
      </c>
      <c r="F35" s="504">
        <v>1923</v>
      </c>
      <c r="G35" s="504">
        <v>1936</v>
      </c>
      <c r="H35" s="504">
        <v>1872.933</v>
      </c>
      <c r="I35" s="504">
        <v>1872.588</v>
      </c>
      <c r="J35" s="504">
        <v>1900.855</v>
      </c>
      <c r="K35" s="504">
        <v>1942.752</v>
      </c>
      <c r="L35" s="504">
        <v>1948.126</v>
      </c>
      <c r="M35" s="504">
        <v>2021.116</v>
      </c>
      <c r="N35" s="504">
        <v>2082.58</v>
      </c>
      <c r="O35" s="504">
        <v>2134.728</v>
      </c>
      <c r="P35" s="504">
        <v>2160.603</v>
      </c>
      <c r="Q35" s="504">
        <v>2194.683</v>
      </c>
      <c r="R35" s="504">
        <v>2274.577</v>
      </c>
      <c r="S35" s="504">
        <v>2346.726</v>
      </c>
      <c r="T35" s="504">
        <v>2430.345</v>
      </c>
      <c r="U35" s="504">
        <v>2505.543</v>
      </c>
      <c r="V35" s="504">
        <v>2570.356</v>
      </c>
      <c r="W35" s="504">
        <v>2700.492</v>
      </c>
      <c r="X35" s="504">
        <v>2776.664</v>
      </c>
      <c r="Y35" s="504">
        <v>2877.484</v>
      </c>
      <c r="Z35" s="504">
        <v>2978</v>
      </c>
      <c r="AA35" s="504">
        <v>3057.484</v>
      </c>
      <c r="AB35" s="868">
        <f>3127.399</f>
        <v>3127.399</v>
      </c>
      <c r="AC35" s="481">
        <f t="shared" si="2"/>
        <v>2.2866840840377165</v>
      </c>
      <c r="AD35" s="294" t="s">
        <v>87</v>
      </c>
    </row>
    <row r="36" spans="1:30" s="157" customFormat="1" ht="12.75" customHeight="1">
      <c r="A36" s="206"/>
      <c r="B36" s="102" t="s">
        <v>88</v>
      </c>
      <c r="C36" s="928">
        <v>2288</v>
      </c>
      <c r="D36" s="928">
        <v>2883</v>
      </c>
      <c r="E36" s="268">
        <v>3601</v>
      </c>
      <c r="F36" s="268">
        <v>3619</v>
      </c>
      <c r="G36" s="268">
        <v>3589</v>
      </c>
      <c r="H36" s="268">
        <v>3566.1</v>
      </c>
      <c r="I36" s="268">
        <v>3594.2</v>
      </c>
      <c r="J36" s="268">
        <v>3630.76</v>
      </c>
      <c r="K36" s="268">
        <v>3654.92</v>
      </c>
      <c r="L36" s="268">
        <v>3701.17</v>
      </c>
      <c r="M36" s="268">
        <v>3790.695</v>
      </c>
      <c r="N36" s="268">
        <v>3890.159</v>
      </c>
      <c r="O36" s="268">
        <v>3998.614</v>
      </c>
      <c r="P36" s="268">
        <v>4018.533</v>
      </c>
      <c r="Q36" s="268">
        <v>4042.792</v>
      </c>
      <c r="R36" s="268">
        <v>4075.414</v>
      </c>
      <c r="S36" s="268">
        <v>4113.424</v>
      </c>
      <c r="T36" s="268">
        <v>4153.674</v>
      </c>
      <c r="U36" s="268">
        <v>4202.463</v>
      </c>
      <c r="V36" s="268">
        <v>4258.463</v>
      </c>
      <c r="W36" s="268">
        <v>4278.995</v>
      </c>
      <c r="X36" s="268">
        <v>4300.752</v>
      </c>
      <c r="Y36" s="268">
        <v>4335.182</v>
      </c>
      <c r="Z36" s="268">
        <v>4401.352</v>
      </c>
      <c r="AA36" s="268">
        <v>4447.165</v>
      </c>
      <c r="AB36" s="867">
        <v>4495.473</v>
      </c>
      <c r="AC36" s="216">
        <f t="shared" si="2"/>
        <v>1.0862650699940275</v>
      </c>
      <c r="AD36" s="102" t="s">
        <v>88</v>
      </c>
    </row>
    <row r="37" spans="1:30" ht="12.75" customHeight="1">
      <c r="A37" s="114"/>
      <c r="B37" s="477" t="s">
        <v>13</v>
      </c>
      <c r="C37" s="935">
        <v>11900</v>
      </c>
      <c r="D37" s="935">
        <v>15619</v>
      </c>
      <c r="E37" s="507">
        <v>20722</v>
      </c>
      <c r="F37" s="507">
        <v>20760</v>
      </c>
      <c r="G37" s="507">
        <v>20970</v>
      </c>
      <c r="H37" s="507">
        <v>21290.696</v>
      </c>
      <c r="I37" s="507">
        <v>21740.709</v>
      </c>
      <c r="J37" s="507">
        <v>21950.81</v>
      </c>
      <c r="K37" s="507">
        <v>22818.718</v>
      </c>
      <c r="L37" s="507">
        <v>23450</v>
      </c>
      <c r="M37" s="507">
        <f>23293+36+592.836+0.393</f>
        <v>23922.229</v>
      </c>
      <c r="N37" s="507">
        <f>23975+37+615.567+0.375</f>
        <v>24627.942</v>
      </c>
      <c r="O37" s="507">
        <f>24406+38+622.488+0.376</f>
        <v>25066.864</v>
      </c>
      <c r="P37" s="507">
        <f>25126+39+650.323+0.379</f>
        <v>25815.702</v>
      </c>
      <c r="Q37" s="507">
        <f>25782+39+671.18+0.413</f>
        <v>26492.593</v>
      </c>
      <c r="R37" s="507">
        <f>26240+39+712.835+0.513</f>
        <v>26992.347999999998</v>
      </c>
      <c r="S37" s="507">
        <f>27028+41+736.706+0.538</f>
        <v>27806.244</v>
      </c>
      <c r="T37" s="507">
        <f>27520+42+763.664+0.633</f>
        <v>28326.297000000002</v>
      </c>
      <c r="U37" s="507">
        <f>27609.2+43+793.763+0.698</f>
        <v>28446.661</v>
      </c>
      <c r="V37" s="507">
        <v>28873.319</v>
      </c>
      <c r="W37" s="507">
        <v>29049.914</v>
      </c>
      <c r="X37" s="507">
        <v>29152.304000000004</v>
      </c>
      <c r="Y37" s="507">
        <v>29333.576</v>
      </c>
      <c r="Z37" s="507">
        <v>29382.213999999996</v>
      </c>
      <c r="AA37" s="507">
        <v>29644.178</v>
      </c>
      <c r="AB37" s="871">
        <f>29140.9+43.473+890.484</f>
        <v>30074.857000000004</v>
      </c>
      <c r="AC37" s="482">
        <f t="shared" si="2"/>
        <v>1.452828275420572</v>
      </c>
      <c r="AD37" s="477" t="s">
        <v>13</v>
      </c>
    </row>
    <row r="38" spans="1:30" ht="12.75" customHeight="1">
      <c r="A38" s="114"/>
      <c r="B38" s="102" t="s">
        <v>310</v>
      </c>
      <c r="C38" s="928"/>
      <c r="D38" s="928"/>
      <c r="E38" s="268"/>
      <c r="F38" s="268"/>
      <c r="G38" s="268"/>
      <c r="H38" s="268">
        <v>56.728</v>
      </c>
      <c r="I38" s="268">
        <v>67.96</v>
      </c>
      <c r="J38" s="268">
        <v>58.682</v>
      </c>
      <c r="K38" s="268">
        <v>67.278</v>
      </c>
      <c r="L38" s="268">
        <v>76.822</v>
      </c>
      <c r="M38" s="268">
        <v>90.766</v>
      </c>
      <c r="N38" s="268">
        <v>92.252</v>
      </c>
      <c r="O38" s="268">
        <v>114.532</v>
      </c>
      <c r="P38" s="268">
        <v>133.533</v>
      </c>
      <c r="Q38" s="268">
        <v>148.531</v>
      </c>
      <c r="R38" s="268">
        <v>174.782</v>
      </c>
      <c r="S38" s="268">
        <v>190.004</v>
      </c>
      <c r="T38" s="268">
        <v>195.125</v>
      </c>
      <c r="U38" s="268">
        <v>225.114</v>
      </c>
      <c r="V38" s="268">
        <v>237.932</v>
      </c>
      <c r="W38" s="268">
        <v>264.828</v>
      </c>
      <c r="X38" s="862">
        <v>281.236</v>
      </c>
      <c r="Y38" s="268">
        <v>294.729</v>
      </c>
      <c r="Z38" s="268">
        <v>300.974</v>
      </c>
      <c r="AA38" s="268">
        <v>297.341</v>
      </c>
      <c r="AB38" s="867">
        <v>341.691</v>
      </c>
      <c r="AC38" s="241">
        <f t="shared" si="2"/>
        <v>14.915534689127966</v>
      </c>
      <c r="AD38" s="102" t="s">
        <v>310</v>
      </c>
    </row>
    <row r="39" spans="1:30" ht="12.75" customHeight="1">
      <c r="A39" s="114"/>
      <c r="B39" s="294" t="s">
        <v>244</v>
      </c>
      <c r="C39" s="929"/>
      <c r="D39" s="929"/>
      <c r="E39" s="504"/>
      <c r="F39" s="504"/>
      <c r="G39" s="504"/>
      <c r="H39" s="504"/>
      <c r="I39" s="504"/>
      <c r="J39" s="504"/>
      <c r="K39" s="504"/>
      <c r="L39" s="504"/>
      <c r="M39" s="504"/>
      <c r="N39" s="504"/>
      <c r="O39" s="504"/>
      <c r="P39" s="504"/>
      <c r="Q39" s="504"/>
      <c r="R39" s="504"/>
      <c r="S39" s="504"/>
      <c r="T39" s="504"/>
      <c r="U39" s="504"/>
      <c r="V39" s="504"/>
      <c r="W39" s="504"/>
      <c r="X39" s="504"/>
      <c r="Y39" s="504">
        <v>164.653</v>
      </c>
      <c r="Z39" s="504">
        <v>171.973</v>
      </c>
      <c r="AA39" s="504">
        <v>173.865</v>
      </c>
      <c r="AB39" s="868">
        <v>178.662</v>
      </c>
      <c r="AC39" s="333">
        <f t="shared" si="2"/>
        <v>2.759037184022077</v>
      </c>
      <c r="AD39" s="294" t="s">
        <v>244</v>
      </c>
    </row>
    <row r="40" spans="1:30" ht="12.75" customHeight="1">
      <c r="A40" s="114"/>
      <c r="B40" s="102" t="s">
        <v>149</v>
      </c>
      <c r="C40" s="928"/>
      <c r="D40" s="928"/>
      <c r="E40" s="268"/>
      <c r="F40" s="268"/>
      <c r="G40" s="268"/>
      <c r="H40" s="268">
        <v>289.979</v>
      </c>
      <c r="I40" s="268">
        <v>263.181</v>
      </c>
      <c r="J40" s="268">
        <v>285.907</v>
      </c>
      <c r="K40" s="268">
        <v>284.022</v>
      </c>
      <c r="L40" s="268">
        <v>289.204</v>
      </c>
      <c r="M40" s="268">
        <v>288.678</v>
      </c>
      <c r="N40" s="268">
        <v>290</v>
      </c>
      <c r="O40" s="268">
        <v>300</v>
      </c>
      <c r="P40" s="268">
        <v>310</v>
      </c>
      <c r="Q40" s="268">
        <v>308</v>
      </c>
      <c r="R40" s="931">
        <v>299.809</v>
      </c>
      <c r="S40" s="268">
        <v>249.403</v>
      </c>
      <c r="T40" s="268">
        <v>253.234</v>
      </c>
      <c r="U40" s="268">
        <v>242.287</v>
      </c>
      <c r="V40" s="268">
        <f>248.774</f>
        <v>248.774</v>
      </c>
      <c r="W40" s="268">
        <f>263.112</f>
        <v>263.112</v>
      </c>
      <c r="X40" s="268">
        <f>282.196</f>
        <v>282.196</v>
      </c>
      <c r="Y40" s="268">
        <v>310.231</v>
      </c>
      <c r="Z40" s="268">
        <v>313.08</v>
      </c>
      <c r="AA40" s="268">
        <v>301.761</v>
      </c>
      <c r="AB40" s="867">
        <v>346.798</v>
      </c>
      <c r="AC40" s="241">
        <f t="shared" si="2"/>
        <v>14.924725196430288</v>
      </c>
      <c r="AD40" s="102" t="s">
        <v>149</v>
      </c>
    </row>
    <row r="41" spans="1:30" ht="12.75" customHeight="1">
      <c r="A41" s="114"/>
      <c r="B41" s="294" t="s">
        <v>245</v>
      </c>
      <c r="C41" s="929"/>
      <c r="D41" s="929"/>
      <c r="E41" s="504"/>
      <c r="F41" s="504"/>
      <c r="G41" s="504"/>
      <c r="H41" s="504"/>
      <c r="I41" s="504"/>
      <c r="J41" s="504"/>
      <c r="K41" s="504"/>
      <c r="L41" s="504"/>
      <c r="M41" s="504"/>
      <c r="N41" s="504"/>
      <c r="O41" s="504"/>
      <c r="P41" s="504">
        <v>1382.396</v>
      </c>
      <c r="Q41" s="504">
        <v>1343.658</v>
      </c>
      <c r="R41" s="504">
        <v>1388.109</v>
      </c>
      <c r="S41" s="504">
        <v>1449.843</v>
      </c>
      <c r="T41" s="504">
        <v>1481.498</v>
      </c>
      <c r="U41" s="504">
        <v>1511.837</v>
      </c>
      <c r="V41" s="504">
        <v>1476.642</v>
      </c>
      <c r="W41" s="504">
        <v>1486.608</v>
      </c>
      <c r="X41" s="504">
        <v>1637.002</v>
      </c>
      <c r="Y41" s="504">
        <v>1565.55</v>
      </c>
      <c r="Z41" s="504">
        <v>1677.51</v>
      </c>
      <c r="AA41" s="504">
        <v>1726.19</v>
      </c>
      <c r="AB41" s="868">
        <v>1770.162</v>
      </c>
      <c r="AC41" s="333">
        <f t="shared" si="2"/>
        <v>2.547344150991492</v>
      </c>
      <c r="AD41" s="294" t="s">
        <v>245</v>
      </c>
    </row>
    <row r="42" spans="1:30" ht="12.75" customHeight="1">
      <c r="A42" s="114"/>
      <c r="B42" s="103" t="s">
        <v>150</v>
      </c>
      <c r="C42" s="936" t="s">
        <v>99</v>
      </c>
      <c r="D42" s="936" t="s">
        <v>99</v>
      </c>
      <c r="E42" s="275"/>
      <c r="F42" s="275"/>
      <c r="G42" s="275"/>
      <c r="H42" s="275">
        <v>2619.852</v>
      </c>
      <c r="I42" s="275">
        <v>2861.64</v>
      </c>
      <c r="J42" s="275">
        <v>3058.5110000000004</v>
      </c>
      <c r="K42" s="275">
        <v>3274.156</v>
      </c>
      <c r="L42" s="275">
        <v>3570.105</v>
      </c>
      <c r="M42" s="275">
        <v>3838.288</v>
      </c>
      <c r="N42" s="275">
        <v>4072.326</v>
      </c>
      <c r="O42" s="275">
        <v>4422.18</v>
      </c>
      <c r="P42" s="275">
        <v>4534.803</v>
      </c>
      <c r="Q42" s="275">
        <v>4600.14</v>
      </c>
      <c r="R42" s="275">
        <v>4700.343</v>
      </c>
      <c r="S42" s="275">
        <v>5400.44</v>
      </c>
      <c r="T42" s="275">
        <v>5772.745</v>
      </c>
      <c r="U42" s="275">
        <v>6140.992</v>
      </c>
      <c r="V42" s="275">
        <v>6472.156</v>
      </c>
      <c r="W42" s="275">
        <v>6796.629</v>
      </c>
      <c r="X42" s="275">
        <f>7093.964</f>
        <v>7093.964</v>
      </c>
      <c r="Y42" s="275">
        <f>7544.871</f>
        <v>7544.871</v>
      </c>
      <c r="Z42" s="275">
        <v>8113.111</v>
      </c>
      <c r="AA42" s="275">
        <v>8648.875</v>
      </c>
      <c r="AB42" s="872">
        <f>9283.923</f>
        <v>9283.923</v>
      </c>
      <c r="AC42" s="336">
        <f t="shared" si="2"/>
        <v>7.3425503316905605</v>
      </c>
      <c r="AD42" s="103" t="s">
        <v>150</v>
      </c>
    </row>
    <row r="43" spans="1:30" ht="12.75" customHeight="1">
      <c r="A43" s="114"/>
      <c r="B43" s="522" t="s">
        <v>151</v>
      </c>
      <c r="C43" s="937">
        <v>40.786</v>
      </c>
      <c r="D43" s="937">
        <v>85.924</v>
      </c>
      <c r="E43" s="938">
        <v>119.731</v>
      </c>
      <c r="F43" s="938">
        <v>120.862</v>
      </c>
      <c r="G43" s="938">
        <v>120.146</v>
      </c>
      <c r="H43" s="938">
        <v>116.195</v>
      </c>
      <c r="I43" s="938">
        <v>116.243</v>
      </c>
      <c r="J43" s="938">
        <v>119.232</v>
      </c>
      <c r="K43" s="938">
        <v>124.909</v>
      </c>
      <c r="L43" s="938">
        <v>132.468</v>
      </c>
      <c r="M43" s="938">
        <v>140.372</v>
      </c>
      <c r="N43" s="938">
        <v>151.409</v>
      </c>
      <c r="O43" s="938">
        <v>158.936</v>
      </c>
      <c r="P43" s="938">
        <v>159.865</v>
      </c>
      <c r="Q43" s="938">
        <v>161.721</v>
      </c>
      <c r="R43" s="938">
        <v>166.869</v>
      </c>
      <c r="S43" s="938">
        <v>175.427</v>
      </c>
      <c r="T43" s="938">
        <v>187.442</v>
      </c>
      <c r="U43" s="938">
        <v>197.305</v>
      </c>
      <c r="V43" s="938">
        <v>207.513</v>
      </c>
      <c r="W43" s="938">
        <v>209.74</v>
      </c>
      <c r="X43" s="938">
        <v>205.338</v>
      </c>
      <c r="Y43" s="938">
        <v>204.736</v>
      </c>
      <c r="Z43" s="938">
        <f>206.112</f>
        <v>206.112</v>
      </c>
      <c r="AA43" s="938">
        <f>210.07</f>
        <v>210.07</v>
      </c>
      <c r="AB43" s="939">
        <v>213.113</v>
      </c>
      <c r="AC43" s="597">
        <f t="shared" si="2"/>
        <v>1.448564764126246</v>
      </c>
      <c r="AD43" s="522" t="s">
        <v>151</v>
      </c>
    </row>
    <row r="44" spans="1:30" ht="12.75" customHeight="1">
      <c r="A44" s="114"/>
      <c r="B44" s="102" t="s">
        <v>152</v>
      </c>
      <c r="C44" s="928">
        <v>690</v>
      </c>
      <c r="D44" s="928">
        <v>1230</v>
      </c>
      <c r="E44" s="268">
        <v>1613.037</v>
      </c>
      <c r="F44" s="268">
        <v>1614.623</v>
      </c>
      <c r="G44" s="268">
        <v>1619.438</v>
      </c>
      <c r="H44" s="268">
        <v>1633.088</v>
      </c>
      <c r="I44" s="268">
        <v>1653.678</v>
      </c>
      <c r="J44" s="268">
        <v>1684.664</v>
      </c>
      <c r="K44" s="268">
        <v>1661.247</v>
      </c>
      <c r="L44" s="268">
        <v>1758.001</v>
      </c>
      <c r="M44" s="268">
        <v>1786.404</v>
      </c>
      <c r="N44" s="268">
        <v>1813.642</v>
      </c>
      <c r="O44" s="268">
        <v>1851.929</v>
      </c>
      <c r="P44" s="268">
        <v>1872.862</v>
      </c>
      <c r="Q44" s="268">
        <v>1899.767</v>
      </c>
      <c r="R44" s="268">
        <v>1933.66</v>
      </c>
      <c r="S44" s="268">
        <v>1977.922</v>
      </c>
      <c r="T44" s="268">
        <v>2028.909</v>
      </c>
      <c r="U44" s="268">
        <v>2084.193</v>
      </c>
      <c r="V44" s="268">
        <v>2154.837</v>
      </c>
      <c r="W44" s="268">
        <v>2197.193</v>
      </c>
      <c r="X44" s="268">
        <v>2244</v>
      </c>
      <c r="Y44" s="268">
        <v>2308.548</v>
      </c>
      <c r="Z44" s="268">
        <v>2376</v>
      </c>
      <c r="AA44" s="268">
        <v>2443</v>
      </c>
      <c r="AB44" s="867">
        <f>2500.265</f>
        <v>2500.265</v>
      </c>
      <c r="AC44" s="241">
        <f t="shared" si="2"/>
        <v>2.344044207941053</v>
      </c>
      <c r="AD44" s="102" t="s">
        <v>152</v>
      </c>
    </row>
    <row r="45" spans="1:30" ht="12.75" customHeight="1">
      <c r="A45" s="114"/>
      <c r="B45" s="294" t="s">
        <v>153</v>
      </c>
      <c r="C45" s="929">
        <v>1383.204</v>
      </c>
      <c r="D45" s="929">
        <v>2246.752</v>
      </c>
      <c r="E45" s="504">
        <v>2985.397</v>
      </c>
      <c r="F45" s="504">
        <v>3057.798</v>
      </c>
      <c r="G45" s="504">
        <v>3091.228</v>
      </c>
      <c r="H45" s="504">
        <v>3109.523</v>
      </c>
      <c r="I45" s="504">
        <v>3165.042</v>
      </c>
      <c r="J45" s="504">
        <v>3229.176</v>
      </c>
      <c r="K45" s="504">
        <v>3268.093</v>
      </c>
      <c r="L45" s="504">
        <v>3323.455</v>
      </c>
      <c r="M45" s="504">
        <v>3383.307</v>
      </c>
      <c r="N45" s="504">
        <v>3467.311</v>
      </c>
      <c r="O45" s="504">
        <v>3545.247</v>
      </c>
      <c r="P45" s="504">
        <v>3629.713</v>
      </c>
      <c r="Q45" s="504">
        <v>3700.951</v>
      </c>
      <c r="R45" s="504">
        <v>3753.89</v>
      </c>
      <c r="S45" s="504">
        <v>3811.351</v>
      </c>
      <c r="T45" s="504">
        <v>3861.442</v>
      </c>
      <c r="U45" s="504">
        <v>3900.014</v>
      </c>
      <c r="V45" s="504">
        <v>3955.787</v>
      </c>
      <c r="W45" s="504">
        <v>3989.811</v>
      </c>
      <c r="X45" s="504">
        <f>4009.602</f>
        <v>4009.602</v>
      </c>
      <c r="Y45" s="504">
        <v>4075.825</v>
      </c>
      <c r="Z45" s="504">
        <v>4163</v>
      </c>
      <c r="AA45" s="504">
        <v>4255</v>
      </c>
      <c r="AB45" s="868">
        <v>4320.885</v>
      </c>
      <c r="AC45" s="333">
        <f t="shared" si="2"/>
        <v>1.548413631022342</v>
      </c>
      <c r="AD45" s="294" t="s">
        <v>153</v>
      </c>
    </row>
    <row r="46" spans="1:30" ht="12.75" customHeight="1">
      <c r="A46" s="114"/>
      <c r="B46" s="103" t="s">
        <v>217</v>
      </c>
      <c r="C46" s="936"/>
      <c r="D46" s="936"/>
      <c r="E46" s="275">
        <v>16.891</v>
      </c>
      <c r="F46" s="275">
        <v>17.328</v>
      </c>
      <c r="G46" s="275">
        <v>17.679</v>
      </c>
      <c r="H46" s="275">
        <v>17.767</v>
      </c>
      <c r="I46" s="275">
        <v>18.256</v>
      </c>
      <c r="J46" s="275">
        <v>18.82</v>
      </c>
      <c r="K46" s="275">
        <v>19.31</v>
      </c>
      <c r="L46" s="275">
        <v>19.926</v>
      </c>
      <c r="M46" s="275">
        <v>20.469</v>
      </c>
      <c r="N46" s="275">
        <v>21.15</v>
      </c>
      <c r="O46" s="275">
        <v>21.784</v>
      </c>
      <c r="P46" s="275">
        <v>22.626</v>
      </c>
      <c r="Q46" s="275">
        <v>23.265</v>
      </c>
      <c r="R46" s="275">
        <v>23.524</v>
      </c>
      <c r="S46" s="275">
        <v>23.935</v>
      </c>
      <c r="T46" s="275">
        <v>24.393</v>
      </c>
      <c r="U46" s="275">
        <v>24.293</v>
      </c>
      <c r="V46" s="275">
        <v>24.368</v>
      </c>
      <c r="W46" s="275">
        <v>25.462</v>
      </c>
      <c r="X46" s="275">
        <f>25.909</f>
        <v>25.909</v>
      </c>
      <c r="Y46" s="275">
        <v>26.89</v>
      </c>
      <c r="Z46" s="275">
        <v>27.327</v>
      </c>
      <c r="AA46" s="275">
        <v>28.004</v>
      </c>
      <c r="AB46" s="872">
        <v>28.102</v>
      </c>
      <c r="AC46" s="336">
        <f t="shared" si="2"/>
        <v>0.34995000714184243</v>
      </c>
      <c r="AD46" s="103" t="s">
        <v>217</v>
      </c>
    </row>
    <row r="47" spans="2:30" ht="17.25" customHeight="1">
      <c r="B47" s="1087" t="s">
        <v>218</v>
      </c>
      <c r="C47" s="1121"/>
      <c r="D47" s="1121"/>
      <c r="E47" s="1121"/>
      <c r="F47" s="1121"/>
      <c r="G47" s="1121"/>
      <c r="H47" s="1121"/>
      <c r="I47" s="1121"/>
      <c r="J47" s="1121"/>
      <c r="K47" s="1121"/>
      <c r="L47" s="1121"/>
      <c r="M47" s="1121"/>
      <c r="N47" s="1121"/>
      <c r="O47" s="1121"/>
      <c r="P47" s="1121"/>
      <c r="Q47" s="1121"/>
      <c r="R47" s="1121"/>
      <c r="S47" s="1121"/>
      <c r="T47" s="1121"/>
      <c r="U47" s="1121"/>
      <c r="V47" s="1121"/>
      <c r="W47" s="1121"/>
      <c r="X47" s="1121"/>
      <c r="Y47" s="1121"/>
      <c r="Z47" s="1121"/>
      <c r="AA47" s="1121"/>
      <c r="AB47" s="1121"/>
      <c r="AC47" s="1121"/>
      <c r="AD47" s="1121"/>
    </row>
    <row r="48" spans="2:30" ht="12.75" customHeight="1">
      <c r="B48" s="1122" t="s">
        <v>174</v>
      </c>
      <c r="C48" s="1119"/>
      <c r="D48" s="1119"/>
      <c r="E48" s="1119"/>
      <c r="F48" s="1119"/>
      <c r="G48" s="1119"/>
      <c r="H48" s="1119"/>
      <c r="I48" s="1119"/>
      <c r="J48" s="1119"/>
      <c r="K48" s="1119"/>
      <c r="L48" s="1119"/>
      <c r="M48" s="1119"/>
      <c r="N48" s="1119"/>
      <c r="O48" s="1119"/>
      <c r="P48" s="1119"/>
      <c r="Q48" s="1119"/>
      <c r="R48" s="1119"/>
      <c r="S48" s="1119"/>
      <c r="T48" s="1119"/>
      <c r="U48" s="1119"/>
      <c r="V48" s="1119"/>
      <c r="W48" s="1119"/>
      <c r="X48" s="1119"/>
      <c r="Y48" s="1119"/>
      <c r="Z48" s="1119"/>
      <c r="AA48" s="1119"/>
      <c r="AB48" s="1119"/>
      <c r="AC48" s="1119"/>
      <c r="AD48" s="1051"/>
    </row>
    <row r="49" spans="2:30" ht="12.75" customHeight="1">
      <c r="B49" s="1119" t="s">
        <v>272</v>
      </c>
      <c r="C49" s="1119"/>
      <c r="D49" s="1119"/>
      <c r="E49" s="1119"/>
      <c r="F49" s="1119"/>
      <c r="G49" s="1119"/>
      <c r="H49" s="1119"/>
      <c r="I49" s="1119"/>
      <c r="J49" s="1119"/>
      <c r="K49" s="1119"/>
      <c r="L49" s="1119"/>
      <c r="M49" s="1119"/>
      <c r="N49" s="1119"/>
      <c r="O49" s="1119"/>
      <c r="P49" s="1119"/>
      <c r="Q49" s="1119"/>
      <c r="R49" s="1119"/>
      <c r="S49" s="1119"/>
      <c r="T49" s="1119"/>
      <c r="U49" s="1119"/>
      <c r="V49" s="1119"/>
      <c r="W49" s="1119"/>
      <c r="X49" s="1119"/>
      <c r="Y49" s="1119"/>
      <c r="Z49" s="1119"/>
      <c r="AA49" s="1119"/>
      <c r="AB49" s="1119"/>
      <c r="AC49" s="1119"/>
      <c r="AD49" s="1051"/>
    </row>
    <row r="50" spans="2:30" ht="12.75" customHeight="1">
      <c r="B50" s="1119" t="s">
        <v>219</v>
      </c>
      <c r="C50" s="1119"/>
      <c r="D50" s="1119"/>
      <c r="E50" s="1119"/>
      <c r="F50" s="1119"/>
      <c r="G50" s="1119"/>
      <c r="H50" s="1119"/>
      <c r="I50" s="1119"/>
      <c r="J50" s="1119"/>
      <c r="K50" s="1119"/>
      <c r="L50" s="1119"/>
      <c r="M50" s="1119"/>
      <c r="N50" s="1119"/>
      <c r="O50" s="1119"/>
      <c r="P50" s="1119"/>
      <c r="Q50" s="1119"/>
      <c r="R50" s="1119"/>
      <c r="S50" s="1119"/>
      <c r="T50" s="1119"/>
      <c r="U50" s="1119"/>
      <c r="V50" s="1119"/>
      <c r="W50" s="1119"/>
      <c r="X50" s="1119"/>
      <c r="Y50" s="1119"/>
      <c r="Z50" s="1119"/>
      <c r="AA50" s="1119"/>
      <c r="AB50" s="1119"/>
      <c r="AC50" s="1119"/>
      <c r="AD50" s="1051"/>
    </row>
    <row r="51" ht="11.25">
      <c r="B51" s="96" t="s">
        <v>220</v>
      </c>
    </row>
  </sheetData>
  <sheetProtection/>
  <mergeCells count="6">
    <mergeCell ref="B49:AD49"/>
    <mergeCell ref="B50:AD50"/>
    <mergeCell ref="B2:AD2"/>
    <mergeCell ref="B3:AD3"/>
    <mergeCell ref="B47:AD47"/>
    <mergeCell ref="B48:AD48"/>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FF00"/>
  </sheetPr>
  <dimension ref="A1:AD53"/>
  <sheetViews>
    <sheetView zoomScalePageLayoutView="0" workbookViewId="0" topLeftCell="A1">
      <selection activeCell="A1" sqref="A1"/>
    </sheetView>
  </sheetViews>
  <sheetFormatPr defaultColWidth="9.140625" defaultRowHeight="12.75"/>
  <cols>
    <col min="1" max="1" width="3.7109375" style="96" customWidth="1"/>
    <col min="2" max="2" width="4.00390625" style="96" customWidth="1"/>
    <col min="3" max="3" width="6.7109375" style="461" customWidth="1"/>
    <col min="4" max="5" width="7.57421875" style="461" customWidth="1"/>
    <col min="6" max="18" width="7.57421875" style="96" customWidth="1"/>
    <col min="19" max="19" width="8.7109375" style="96" customWidth="1"/>
    <col min="20" max="20" width="8.57421875" style="96" customWidth="1"/>
    <col min="21" max="28" width="7.7109375" style="96" customWidth="1"/>
    <col min="29" max="29" width="7.00390625" style="96" customWidth="1"/>
    <col min="30" max="30" width="4.8515625" style="96" customWidth="1"/>
    <col min="31" max="16384" width="9.140625" style="96" customWidth="1"/>
  </cols>
  <sheetData>
    <row r="1" spans="2:30" ht="14.25" customHeight="1">
      <c r="B1" s="1106"/>
      <c r="C1" s="1106"/>
      <c r="D1" s="529"/>
      <c r="E1" s="530"/>
      <c r="F1" s="95"/>
      <c r="G1" s="95"/>
      <c r="H1" s="95"/>
      <c r="I1" s="95"/>
      <c r="J1" s="95"/>
      <c r="K1" s="95"/>
      <c r="L1" s="95"/>
      <c r="M1" s="95"/>
      <c r="N1" s="95"/>
      <c r="O1" s="95"/>
      <c r="P1" s="95"/>
      <c r="AD1" s="97" t="s">
        <v>133</v>
      </c>
    </row>
    <row r="2" spans="2:30" s="197" customFormat="1" ht="30" customHeight="1">
      <c r="B2" s="1059" t="s">
        <v>221</v>
      </c>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row>
    <row r="3" spans="2:30" s="106" customFormat="1" ht="15" customHeight="1">
      <c r="B3" s="1124" t="s">
        <v>215</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row>
    <row r="4" spans="2:30" ht="12.75" customHeight="1">
      <c r="B4" s="123"/>
      <c r="C4" s="123"/>
      <c r="E4" s="221"/>
      <c r="F4" s="221"/>
      <c r="G4" s="221"/>
      <c r="H4" s="221"/>
      <c r="I4" s="221"/>
      <c r="J4" s="255"/>
      <c r="K4" s="255"/>
      <c r="L4" s="255"/>
      <c r="M4" s="255"/>
      <c r="N4" s="255"/>
      <c r="O4" s="255"/>
      <c r="W4" s="340"/>
      <c r="X4" s="340" t="s">
        <v>216</v>
      </c>
      <c r="Y4" s="198"/>
      <c r="Z4" s="198"/>
      <c r="AA4" s="198"/>
      <c r="AB4" s="198"/>
      <c r="AD4" s="198"/>
    </row>
    <row r="5" spans="2:30" ht="19.5" customHeight="1">
      <c r="B5" s="98"/>
      <c r="C5" s="100">
        <v>1970</v>
      </c>
      <c r="D5" s="101">
        <v>1980</v>
      </c>
      <c r="E5" s="101">
        <v>1990</v>
      </c>
      <c r="F5" s="101">
        <v>1991</v>
      </c>
      <c r="G5" s="101">
        <v>1992</v>
      </c>
      <c r="H5" s="101">
        <v>1993</v>
      </c>
      <c r="I5" s="101">
        <v>1994</v>
      </c>
      <c r="J5" s="101">
        <v>1995</v>
      </c>
      <c r="K5" s="101">
        <v>1996</v>
      </c>
      <c r="L5" s="101">
        <v>1997</v>
      </c>
      <c r="M5" s="101">
        <v>1998</v>
      </c>
      <c r="N5" s="101">
        <v>1999</v>
      </c>
      <c r="O5" s="101">
        <v>2000</v>
      </c>
      <c r="P5" s="101">
        <v>2001</v>
      </c>
      <c r="Q5" s="101">
        <v>2002</v>
      </c>
      <c r="R5" s="101">
        <v>2003</v>
      </c>
      <c r="S5" s="101">
        <v>2004</v>
      </c>
      <c r="T5" s="101">
        <v>2005</v>
      </c>
      <c r="U5" s="101">
        <v>2006</v>
      </c>
      <c r="V5" s="101">
        <v>2007</v>
      </c>
      <c r="W5" s="101">
        <v>2008</v>
      </c>
      <c r="X5" s="101">
        <v>2009</v>
      </c>
      <c r="Y5" s="101">
        <v>2010</v>
      </c>
      <c r="Z5" s="101">
        <v>2011</v>
      </c>
      <c r="AA5" s="101">
        <v>2012</v>
      </c>
      <c r="AB5" s="101">
        <v>2013</v>
      </c>
      <c r="AC5" s="122" t="s">
        <v>314</v>
      </c>
      <c r="AD5" s="224"/>
    </row>
    <row r="6" spans="2:30" ht="9.75" customHeight="1">
      <c r="B6" s="124"/>
      <c r="C6" s="518"/>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531" t="s">
        <v>147</v>
      </c>
      <c r="AD6" s="224"/>
    </row>
    <row r="7" spans="2:30" ht="12.75" customHeight="1">
      <c r="B7" s="129" t="s">
        <v>260</v>
      </c>
      <c r="C7" s="940"/>
      <c r="D7" s="941"/>
      <c r="E7" s="941"/>
      <c r="F7" s="942"/>
      <c r="G7" s="942"/>
      <c r="H7" s="942"/>
      <c r="I7" s="942"/>
      <c r="J7" s="942">
        <f aca="true" t="shared" si="0" ref="J7:AA7">SUM(J10:J37)</f>
        <v>22672.21099999999</v>
      </c>
      <c r="K7" s="942">
        <f t="shared" si="0"/>
        <v>23399.626</v>
      </c>
      <c r="L7" s="942">
        <f t="shared" si="0"/>
        <v>23981.090000000007</v>
      </c>
      <c r="M7" s="942">
        <f t="shared" si="0"/>
        <v>24732.969999999998</v>
      </c>
      <c r="N7" s="942">
        <f t="shared" si="0"/>
        <v>25831.301</v>
      </c>
      <c r="O7" s="942">
        <f t="shared" si="0"/>
        <v>26957.101</v>
      </c>
      <c r="P7" s="942">
        <f t="shared" si="0"/>
        <v>27907.001999999997</v>
      </c>
      <c r="Q7" s="942">
        <f t="shared" si="0"/>
        <v>28682.799000000003</v>
      </c>
      <c r="R7" s="942">
        <f t="shared" si="0"/>
        <v>29317.591999999993</v>
      </c>
      <c r="S7" s="587">
        <f t="shared" si="0"/>
        <v>30211.679000000004</v>
      </c>
      <c r="T7" s="587">
        <f t="shared" si="0"/>
        <v>30941.732</v>
      </c>
      <c r="U7" s="942">
        <f t="shared" si="0"/>
        <v>31775.967</v>
      </c>
      <c r="V7" s="942">
        <f t="shared" si="0"/>
        <v>32867.66299999999</v>
      </c>
      <c r="W7" s="587">
        <f t="shared" si="0"/>
        <v>33382.784</v>
      </c>
      <c r="X7" s="942">
        <f t="shared" si="0"/>
        <v>34642.84300000001</v>
      </c>
      <c r="Y7" s="942">
        <f t="shared" si="0"/>
        <v>34868.664000000004</v>
      </c>
      <c r="Z7" s="942">
        <f t="shared" si="0"/>
        <v>35262.240999999995</v>
      </c>
      <c r="AA7" s="942">
        <f t="shared" si="0"/>
        <v>35322.27099999999</v>
      </c>
      <c r="AB7" s="942">
        <f>SUM(AB10:AB37)</f>
        <v>35537.687000000005</v>
      </c>
      <c r="AC7" s="943">
        <f>AB7/AA7*100-100</f>
        <v>0.6098588621326542</v>
      </c>
      <c r="AD7" s="129" t="s">
        <v>260</v>
      </c>
    </row>
    <row r="8" spans="2:30" ht="12.75" customHeight="1">
      <c r="B8" s="133" t="s">
        <v>89</v>
      </c>
      <c r="C8" s="944">
        <f aca="true" t="shared" si="1" ref="C8:Y8">SUM(C10,C13:C13,C14,C16,C17:C19,C25,C28:C29,C31,C35:C37,C21)</f>
        <v>6623.695</v>
      </c>
      <c r="D8" s="944">
        <f t="shared" si="1"/>
        <v>10656.015</v>
      </c>
      <c r="E8" s="944">
        <f t="shared" si="1"/>
        <v>17395.367</v>
      </c>
      <c r="F8" s="944">
        <f t="shared" si="1"/>
        <v>17845.110999999997</v>
      </c>
      <c r="G8" s="944">
        <f t="shared" si="1"/>
        <v>18414.089</v>
      </c>
      <c r="H8" s="944">
        <f t="shared" si="1"/>
        <v>19005.989</v>
      </c>
      <c r="I8" s="944">
        <f t="shared" si="1"/>
        <v>19233.449999999997</v>
      </c>
      <c r="J8" s="944">
        <f t="shared" si="1"/>
        <v>19650.412</v>
      </c>
      <c r="K8" s="944">
        <f t="shared" si="1"/>
        <v>20222.894</v>
      </c>
      <c r="L8" s="944">
        <f t="shared" si="1"/>
        <v>20649.640000000003</v>
      </c>
      <c r="M8" s="944">
        <f t="shared" si="1"/>
        <v>21221.262</v>
      </c>
      <c r="N8" s="944">
        <f t="shared" si="1"/>
        <v>22139.481000000003</v>
      </c>
      <c r="O8" s="944">
        <f t="shared" si="1"/>
        <v>23005.860999999997</v>
      </c>
      <c r="P8" s="944">
        <f t="shared" si="1"/>
        <v>23779.46</v>
      </c>
      <c r="Q8" s="944">
        <f t="shared" si="1"/>
        <v>24278.185</v>
      </c>
      <c r="R8" s="944">
        <f t="shared" si="1"/>
        <v>24667.869</v>
      </c>
      <c r="S8" s="945">
        <f t="shared" si="1"/>
        <v>25386.64</v>
      </c>
      <c r="T8" s="945">
        <f t="shared" si="1"/>
        <v>26069.378</v>
      </c>
      <c r="U8" s="944">
        <f t="shared" si="1"/>
        <v>26751.715999999997</v>
      </c>
      <c r="V8" s="944">
        <f t="shared" si="1"/>
        <v>27592.72</v>
      </c>
      <c r="W8" s="945">
        <f t="shared" si="1"/>
        <v>27619.159</v>
      </c>
      <c r="X8" s="944">
        <f t="shared" si="1"/>
        <v>28775.057000000004</v>
      </c>
      <c r="Y8" s="944">
        <f t="shared" si="1"/>
        <v>28869.315000000002</v>
      </c>
      <c r="Z8" s="944">
        <f>SUM(Z10,Z13:Z13,Z14,Z16,Z17:Z19,Z25,Z28:Z29,Z31,Z35:Z37,Z21)</f>
        <v>29062.077</v>
      </c>
      <c r="AA8" s="944">
        <f>SUM(AA10,AA13:AA13,AA14,AA16,AA17:AA19,AA25,AA28:AA29,AA31,AA35:AA37,AA21)</f>
        <v>29027.157999999996</v>
      </c>
      <c r="AB8" s="944">
        <f>SUM(AB10,AB13:AB13,AB14,AB16,AB17:AB19,AB25,AB28:AB29,AB31,AB35:AB37,AB21)</f>
        <v>29098.516999999996</v>
      </c>
      <c r="AC8" s="946">
        <f aca="true" t="shared" si="2" ref="AC8:AC46">AB8/AA8*100-100</f>
        <v>0.24583529672452187</v>
      </c>
      <c r="AD8" s="133" t="s">
        <v>89</v>
      </c>
    </row>
    <row r="9" spans="2:30" ht="12.75" customHeight="1">
      <c r="B9" s="134" t="s">
        <v>261</v>
      </c>
      <c r="C9" s="947"/>
      <c r="D9" s="948"/>
      <c r="E9" s="944"/>
      <c r="F9" s="944"/>
      <c r="G9" s="944"/>
      <c r="H9" s="944"/>
      <c r="I9" s="944"/>
      <c r="J9" s="944">
        <f>J7-J8</f>
        <v>3021.798999999988</v>
      </c>
      <c r="K9" s="944">
        <f aca="true" t="shared" si="3" ref="K9:X9">K7-K8</f>
        <v>3176.732</v>
      </c>
      <c r="L9" s="944">
        <f t="shared" si="3"/>
        <v>3331.4500000000044</v>
      </c>
      <c r="M9" s="944">
        <f t="shared" si="3"/>
        <v>3511.7079999999987</v>
      </c>
      <c r="N9" s="944">
        <f t="shared" si="3"/>
        <v>3691.819999999996</v>
      </c>
      <c r="O9" s="944">
        <f t="shared" si="3"/>
        <v>3951.2400000000016</v>
      </c>
      <c r="P9" s="944">
        <f t="shared" si="3"/>
        <v>4127.541999999998</v>
      </c>
      <c r="Q9" s="944">
        <f t="shared" si="3"/>
        <v>4404.614000000001</v>
      </c>
      <c r="R9" s="944">
        <f t="shared" si="3"/>
        <v>4649.7229999999945</v>
      </c>
      <c r="S9" s="944">
        <f t="shared" si="3"/>
        <v>4825.039000000004</v>
      </c>
      <c r="T9" s="944">
        <f t="shared" si="3"/>
        <v>4872.353999999999</v>
      </c>
      <c r="U9" s="944">
        <f t="shared" si="3"/>
        <v>5024.251000000004</v>
      </c>
      <c r="V9" s="944">
        <f t="shared" si="3"/>
        <v>5274.942999999992</v>
      </c>
      <c r="W9" s="944">
        <f t="shared" si="3"/>
        <v>5763.625</v>
      </c>
      <c r="X9" s="944">
        <f t="shared" si="3"/>
        <v>5867.786000000004</v>
      </c>
      <c r="Y9" s="944">
        <f>Y7-Y8</f>
        <v>5999.349000000002</v>
      </c>
      <c r="Z9" s="944">
        <f>Z7-Z8</f>
        <v>6200.163999999993</v>
      </c>
      <c r="AA9" s="944">
        <f>AA7-AA8</f>
        <v>6295.112999999998</v>
      </c>
      <c r="AB9" s="944">
        <f>AB7-AB8</f>
        <v>6439.170000000009</v>
      </c>
      <c r="AC9" s="946">
        <f t="shared" si="2"/>
        <v>2.288394187681959</v>
      </c>
      <c r="AD9" s="134" t="s">
        <v>261</v>
      </c>
    </row>
    <row r="10" spans="1:30" ht="12.75" customHeight="1">
      <c r="A10" s="114"/>
      <c r="B10" s="104" t="s">
        <v>60</v>
      </c>
      <c r="C10" s="949">
        <v>251.405</v>
      </c>
      <c r="D10" s="950">
        <v>299.084</v>
      </c>
      <c r="E10" s="950">
        <v>380.37899999999996</v>
      </c>
      <c r="F10" s="951">
        <v>401.452</v>
      </c>
      <c r="G10" s="951">
        <v>404.325</v>
      </c>
      <c r="H10" s="951">
        <v>426.915</v>
      </c>
      <c r="I10" s="951">
        <v>442.055</v>
      </c>
      <c r="J10" s="951">
        <v>442.463</v>
      </c>
      <c r="K10" s="951">
        <v>457.16</v>
      </c>
      <c r="L10" s="951">
        <v>476.583</v>
      </c>
      <c r="M10" s="951">
        <v>495.464</v>
      </c>
      <c r="N10" s="951">
        <v>524.088</v>
      </c>
      <c r="O10" s="952">
        <v>588.843</v>
      </c>
      <c r="P10" s="951">
        <v>615.037</v>
      </c>
      <c r="Q10" s="951">
        <v>591.383</v>
      </c>
      <c r="R10" s="951">
        <v>610.322</v>
      </c>
      <c r="S10" s="951">
        <v>637.259</v>
      </c>
      <c r="T10" s="951">
        <v>662.346</v>
      </c>
      <c r="U10" s="951">
        <v>678.551</v>
      </c>
      <c r="V10" s="951">
        <v>699.047</v>
      </c>
      <c r="W10" s="951">
        <v>716.614</v>
      </c>
      <c r="X10" s="951">
        <v>729.011</v>
      </c>
      <c r="Y10" s="951">
        <v>747.256</v>
      </c>
      <c r="Z10" s="951">
        <v>764.257</v>
      </c>
      <c r="AA10" s="951">
        <v>778.728</v>
      </c>
      <c r="AB10" s="951">
        <v>791.454</v>
      </c>
      <c r="AC10" s="953">
        <f t="shared" si="2"/>
        <v>1.6342034702746133</v>
      </c>
      <c r="AD10" s="104" t="s">
        <v>60</v>
      </c>
    </row>
    <row r="11" spans="1:30" ht="12.75" customHeight="1">
      <c r="A11" s="114"/>
      <c r="B11" s="133" t="s">
        <v>101</v>
      </c>
      <c r="C11" s="954"/>
      <c r="D11" s="955" t="s">
        <v>222</v>
      </c>
      <c r="E11" s="955">
        <v>161.6</v>
      </c>
      <c r="F11" s="955">
        <v>174.2</v>
      </c>
      <c r="G11" s="955">
        <v>187.4</v>
      </c>
      <c r="H11" s="955">
        <v>203.942</v>
      </c>
      <c r="I11" s="955">
        <v>214.756</v>
      </c>
      <c r="J11" s="955">
        <v>223.17700000000002</v>
      </c>
      <c r="K11" s="955">
        <v>229.84</v>
      </c>
      <c r="L11" s="955">
        <v>232.76600000000002</v>
      </c>
      <c r="M11" s="955">
        <v>242.268</v>
      </c>
      <c r="N11" s="955">
        <v>251.5</v>
      </c>
      <c r="O11" s="955">
        <v>259.39</v>
      </c>
      <c r="P11" s="955">
        <v>269.586</v>
      </c>
      <c r="Q11" s="955">
        <v>279.858</v>
      </c>
      <c r="R11" s="955">
        <v>293.487</v>
      </c>
      <c r="S11" s="955">
        <v>317.681</v>
      </c>
      <c r="T11" s="956">
        <v>333.866</v>
      </c>
      <c r="U11" s="955">
        <v>226.09199999999998</v>
      </c>
      <c r="V11" s="955">
        <v>261.31600000000003</v>
      </c>
      <c r="W11" s="955">
        <v>299.161</v>
      </c>
      <c r="X11" s="955">
        <v>317.808</v>
      </c>
      <c r="Y11" s="955">
        <v>333.5</v>
      </c>
      <c r="Z11" s="955">
        <v>347.561</v>
      </c>
      <c r="AA11" s="955">
        <v>367.029</v>
      </c>
      <c r="AB11" s="955">
        <v>388</v>
      </c>
      <c r="AC11" s="957">
        <f t="shared" si="2"/>
        <v>5.713717444670593</v>
      </c>
      <c r="AD11" s="133" t="s">
        <v>101</v>
      </c>
    </row>
    <row r="12" spans="1:30" ht="12.75" customHeight="1">
      <c r="A12" s="114"/>
      <c r="B12" s="102" t="s">
        <v>61</v>
      </c>
      <c r="C12" s="958"/>
      <c r="D12" s="959"/>
      <c r="E12" s="959"/>
      <c r="F12" s="960"/>
      <c r="G12" s="960"/>
      <c r="H12" s="960">
        <v>183.964</v>
      </c>
      <c r="I12" s="961">
        <v>199.635</v>
      </c>
      <c r="J12" s="961">
        <v>219.311</v>
      </c>
      <c r="K12" s="961">
        <v>242.959</v>
      </c>
      <c r="L12" s="961">
        <v>265.372</v>
      </c>
      <c r="M12" s="961">
        <v>280.31100000000004</v>
      </c>
      <c r="N12" s="961">
        <v>289.41</v>
      </c>
      <c r="O12" s="961">
        <v>298.286</v>
      </c>
      <c r="P12" s="961">
        <v>321.23499999999996</v>
      </c>
      <c r="Q12" s="961">
        <v>349.495</v>
      </c>
      <c r="R12" s="961">
        <v>365.746</v>
      </c>
      <c r="S12" s="961">
        <v>396.206</v>
      </c>
      <c r="T12" s="961">
        <v>439.161</v>
      </c>
      <c r="U12" s="961">
        <v>490.904</v>
      </c>
      <c r="V12" s="961">
        <v>554.831</v>
      </c>
      <c r="W12" s="961">
        <v>607.4119999999999</v>
      </c>
      <c r="X12" s="961">
        <v>601.767</v>
      </c>
      <c r="Y12" s="961">
        <v>597.966</v>
      </c>
      <c r="Z12" s="961">
        <v>597.2320000000001</v>
      </c>
      <c r="AA12" s="961">
        <v>604.155</v>
      </c>
      <c r="AB12" s="961">
        <f>593.439+7.626</f>
        <v>601.0649999999999</v>
      </c>
      <c r="AC12" s="962">
        <f t="shared" si="2"/>
        <v>-0.5114581522953614</v>
      </c>
      <c r="AD12" s="102" t="s">
        <v>61</v>
      </c>
    </row>
    <row r="13" spans="1:30" ht="12.75" customHeight="1">
      <c r="A13" s="114"/>
      <c r="B13" s="133" t="s">
        <v>14</v>
      </c>
      <c r="C13" s="954">
        <v>245</v>
      </c>
      <c r="D13" s="955">
        <v>249</v>
      </c>
      <c r="E13" s="955">
        <v>286.613</v>
      </c>
      <c r="F13" s="955">
        <v>298.312</v>
      </c>
      <c r="G13" s="955">
        <v>304.205</v>
      </c>
      <c r="H13" s="955">
        <v>312.274</v>
      </c>
      <c r="I13" s="955">
        <v>322.032</v>
      </c>
      <c r="J13" s="955">
        <v>333.758</v>
      </c>
      <c r="K13" s="955">
        <v>339.897</v>
      </c>
      <c r="L13" s="955">
        <v>345.972</v>
      </c>
      <c r="M13" s="955">
        <v>357.633</v>
      </c>
      <c r="N13" s="955">
        <v>373.258</v>
      </c>
      <c r="O13" s="955">
        <v>384.85</v>
      </c>
      <c r="P13" s="955">
        <v>392.26</v>
      </c>
      <c r="Q13" s="955">
        <v>401.762</v>
      </c>
      <c r="R13" s="955">
        <v>412.813</v>
      </c>
      <c r="S13" s="955">
        <v>436.147</v>
      </c>
      <c r="T13" s="955">
        <v>469.52299999999997</v>
      </c>
      <c r="U13" s="955">
        <v>508.774</v>
      </c>
      <c r="V13" s="955">
        <v>536.55</v>
      </c>
      <c r="W13" s="955">
        <v>531.403</v>
      </c>
      <c r="X13" s="955">
        <v>507.861</v>
      </c>
      <c r="Y13" s="955">
        <v>485.109</v>
      </c>
      <c r="Z13" s="955">
        <v>469.248</v>
      </c>
      <c r="AA13" s="955">
        <v>459.557</v>
      </c>
      <c r="AB13" s="955">
        <f>402.352+29.215+12.858</f>
        <v>444.42499999999995</v>
      </c>
      <c r="AC13" s="957">
        <f t="shared" si="2"/>
        <v>-3.292736265577517</v>
      </c>
      <c r="AD13" s="133" t="s">
        <v>14</v>
      </c>
    </row>
    <row r="14" spans="1:30" ht="12.75" customHeight="1">
      <c r="A14" s="114"/>
      <c r="B14" s="102" t="s">
        <v>63</v>
      </c>
      <c r="C14" s="963">
        <v>1188</v>
      </c>
      <c r="D14" s="960">
        <v>1511</v>
      </c>
      <c r="E14" s="960">
        <v>1653</v>
      </c>
      <c r="F14" s="960">
        <v>1660</v>
      </c>
      <c r="G14" s="964">
        <v>1849</v>
      </c>
      <c r="H14" s="960">
        <v>2188.983</v>
      </c>
      <c r="I14" s="960">
        <v>2289.4100000000003</v>
      </c>
      <c r="J14" s="960">
        <v>2378.712</v>
      </c>
      <c r="K14" s="964">
        <v>2428.959</v>
      </c>
      <c r="L14" s="960">
        <v>2181.9970000000003</v>
      </c>
      <c r="M14" s="960">
        <v>2267.022</v>
      </c>
      <c r="N14" s="960">
        <v>2361.722</v>
      </c>
      <c r="O14" s="960">
        <v>2419.107</v>
      </c>
      <c r="P14" s="960">
        <v>2427.686</v>
      </c>
      <c r="Q14" s="960">
        <v>2397.622</v>
      </c>
      <c r="R14" s="960">
        <v>2385.0750000000003</v>
      </c>
      <c r="S14" s="960">
        <v>2385.286</v>
      </c>
      <c r="T14" s="964">
        <v>2404.9049999999997</v>
      </c>
      <c r="U14" s="964">
        <v>2471.221</v>
      </c>
      <c r="V14" s="965">
        <v>2502.999</v>
      </c>
      <c r="W14" s="960">
        <v>2523.5609999999997</v>
      </c>
      <c r="X14" s="960">
        <v>2556.01</v>
      </c>
      <c r="Y14" s="960">
        <v>2619.427</v>
      </c>
      <c r="Z14" s="960">
        <v>2712.977</v>
      </c>
      <c r="AA14" s="960">
        <v>2761.396</v>
      </c>
      <c r="AB14" s="966">
        <f>2629.209+184.589</f>
        <v>2813.798</v>
      </c>
      <c r="AC14" s="967">
        <f t="shared" si="2"/>
        <v>1.8976633557808924</v>
      </c>
      <c r="AD14" s="102" t="s">
        <v>63</v>
      </c>
    </row>
    <row r="15" spans="1:30" ht="12.75" customHeight="1">
      <c r="A15" s="114"/>
      <c r="B15" s="133" t="s">
        <v>64</v>
      </c>
      <c r="C15" s="954"/>
      <c r="D15" s="955">
        <v>51.1</v>
      </c>
      <c r="E15" s="955">
        <v>67.7</v>
      </c>
      <c r="F15" s="955">
        <v>77.1</v>
      </c>
      <c r="G15" s="955">
        <v>74.6</v>
      </c>
      <c r="H15" s="955">
        <v>74.1</v>
      </c>
      <c r="I15" s="955">
        <v>53.7</v>
      </c>
      <c r="J15" s="955">
        <v>65.598</v>
      </c>
      <c r="K15" s="955">
        <v>71.304</v>
      </c>
      <c r="L15" s="955">
        <v>76.605</v>
      </c>
      <c r="M15" s="955">
        <v>80.617</v>
      </c>
      <c r="N15" s="955">
        <v>81.03</v>
      </c>
      <c r="O15" s="955">
        <v>82.119</v>
      </c>
      <c r="P15" s="955">
        <v>80.535</v>
      </c>
      <c r="Q15" s="955">
        <v>80.179</v>
      </c>
      <c r="R15" s="955">
        <v>83.43</v>
      </c>
      <c r="S15" s="955">
        <v>85.732</v>
      </c>
      <c r="T15" s="956">
        <v>86.201</v>
      </c>
      <c r="U15" s="956">
        <v>92.86</v>
      </c>
      <c r="V15" s="955">
        <v>80.28</v>
      </c>
      <c r="W15" s="955">
        <v>83.35</v>
      </c>
      <c r="X15" s="955">
        <v>81.1</v>
      </c>
      <c r="Y15" s="955">
        <v>81.2</v>
      </c>
      <c r="Z15" s="955">
        <v>84.337</v>
      </c>
      <c r="AA15" s="955">
        <v>88.045</v>
      </c>
      <c r="AB15" s="955">
        <v>92.2</v>
      </c>
      <c r="AC15" s="957">
        <f t="shared" si="2"/>
        <v>4.719177693225049</v>
      </c>
      <c r="AD15" s="133" t="s">
        <v>64</v>
      </c>
    </row>
    <row r="16" spans="1:30" ht="12.75" customHeight="1">
      <c r="A16" s="114"/>
      <c r="B16" s="102" t="s">
        <v>68</v>
      </c>
      <c r="C16" s="963">
        <v>49</v>
      </c>
      <c r="D16" s="960">
        <v>65</v>
      </c>
      <c r="E16" s="960">
        <v>143.166</v>
      </c>
      <c r="F16" s="960">
        <v>148.331</v>
      </c>
      <c r="G16" s="960">
        <v>144.798</v>
      </c>
      <c r="H16" s="960">
        <v>135.225</v>
      </c>
      <c r="I16" s="960">
        <v>135.809</v>
      </c>
      <c r="J16" s="960">
        <v>141.785</v>
      </c>
      <c r="K16" s="960">
        <v>146.601</v>
      </c>
      <c r="L16" s="960">
        <v>158.158</v>
      </c>
      <c r="M16" s="960">
        <v>170.866</v>
      </c>
      <c r="N16" s="960">
        <v>188.814</v>
      </c>
      <c r="O16" s="960">
        <v>205.575</v>
      </c>
      <c r="P16" s="960">
        <v>219.51</v>
      </c>
      <c r="Q16" s="960">
        <v>233.069</v>
      </c>
      <c r="R16" s="960">
        <v>251.13</v>
      </c>
      <c r="S16" s="960">
        <v>268.082</v>
      </c>
      <c r="T16" s="960">
        <v>286.548</v>
      </c>
      <c r="U16" s="960">
        <v>318.604</v>
      </c>
      <c r="V16" s="960">
        <v>345.874</v>
      </c>
      <c r="W16" s="960">
        <v>351.307</v>
      </c>
      <c r="X16" s="960">
        <v>343.94</v>
      </c>
      <c r="Y16" s="960">
        <v>327.096</v>
      </c>
      <c r="Z16" s="960">
        <v>320.996</v>
      </c>
      <c r="AA16" s="960">
        <v>309.219</v>
      </c>
      <c r="AB16" s="960">
        <v>317.849</v>
      </c>
      <c r="AC16" s="967">
        <f t="shared" si="2"/>
        <v>2.7909022408066733</v>
      </c>
      <c r="AD16" s="102" t="s">
        <v>68</v>
      </c>
    </row>
    <row r="17" spans="1:30" ht="12.75" customHeight="1">
      <c r="A17" s="114"/>
      <c r="B17" s="133" t="s">
        <v>15</v>
      </c>
      <c r="C17" s="954">
        <v>105</v>
      </c>
      <c r="D17" s="955">
        <v>401</v>
      </c>
      <c r="E17" s="955">
        <v>766.429</v>
      </c>
      <c r="F17" s="955">
        <v>792.77</v>
      </c>
      <c r="G17" s="955">
        <v>797.788</v>
      </c>
      <c r="H17" s="955">
        <v>825.697</v>
      </c>
      <c r="I17" s="955">
        <v>849.033</v>
      </c>
      <c r="J17" s="955">
        <v>883.823</v>
      </c>
      <c r="K17" s="955">
        <v>914.827</v>
      </c>
      <c r="L17" s="955">
        <v>951.785</v>
      </c>
      <c r="M17" s="955">
        <v>987.357</v>
      </c>
      <c r="N17" s="955">
        <v>1023.987</v>
      </c>
      <c r="O17" s="955">
        <v>1057.422</v>
      </c>
      <c r="P17" s="955">
        <v>1085.811</v>
      </c>
      <c r="Q17" s="955">
        <v>1109.137</v>
      </c>
      <c r="R17" s="955">
        <v>1131.027</v>
      </c>
      <c r="S17" s="955">
        <v>1159.137</v>
      </c>
      <c r="T17" s="955">
        <v>1186.483</v>
      </c>
      <c r="U17" s="955">
        <v>1219.889</v>
      </c>
      <c r="V17" s="955">
        <v>1255.945</v>
      </c>
      <c r="W17" s="955">
        <v>1289.525</v>
      </c>
      <c r="X17" s="955">
        <v>1302.43</v>
      </c>
      <c r="Y17" s="955">
        <v>1318.768</v>
      </c>
      <c r="Z17" s="955">
        <v>1321.296</v>
      </c>
      <c r="AA17" s="955">
        <v>1318.918</v>
      </c>
      <c r="AB17" s="955">
        <v>1315.836</v>
      </c>
      <c r="AC17" s="957">
        <f t="shared" si="2"/>
        <v>-0.23367639231550186</v>
      </c>
      <c r="AD17" s="133" t="s">
        <v>15</v>
      </c>
    </row>
    <row r="18" spans="1:30" ht="12.75" customHeight="1">
      <c r="A18" s="114"/>
      <c r="B18" s="102" t="s">
        <v>66</v>
      </c>
      <c r="C18" s="963">
        <v>710</v>
      </c>
      <c r="D18" s="960">
        <v>1362.424</v>
      </c>
      <c r="E18" s="960">
        <v>2401.085</v>
      </c>
      <c r="F18" s="960">
        <v>2568.429</v>
      </c>
      <c r="G18" s="960">
        <v>2726.191</v>
      </c>
      <c r="H18" s="960">
        <v>2812.6099999999997</v>
      </c>
      <c r="I18" s="960">
        <v>2905.75</v>
      </c>
      <c r="J18" s="960">
        <v>3024.246</v>
      </c>
      <c r="K18" s="960">
        <v>3151.904</v>
      </c>
      <c r="L18" s="960">
        <v>3310.0950000000003</v>
      </c>
      <c r="M18" s="960">
        <v>3509.7509999999997</v>
      </c>
      <c r="N18" s="960">
        <v>3735.188</v>
      </c>
      <c r="O18" s="960">
        <v>3923.176</v>
      </c>
      <c r="P18" s="960">
        <v>4104.9580000000005</v>
      </c>
      <c r="Q18" s="964">
        <v>4258.889</v>
      </c>
      <c r="R18" s="960">
        <v>4363.4169999999995</v>
      </c>
      <c r="S18" s="960">
        <v>4603.418</v>
      </c>
      <c r="T18" s="960">
        <v>4849.619</v>
      </c>
      <c r="U18" s="960">
        <v>5087.311</v>
      </c>
      <c r="V18" s="960">
        <v>5353.283</v>
      </c>
      <c r="W18" s="960">
        <v>5405.585</v>
      </c>
      <c r="X18" s="960">
        <v>5342.9439999999995</v>
      </c>
      <c r="Y18" s="960">
        <v>5303.465999999999</v>
      </c>
      <c r="Z18" s="960">
        <v>5256.751</v>
      </c>
      <c r="AA18" s="960">
        <f>4984.722+186.964</f>
        <v>5171.686</v>
      </c>
      <c r="AB18" s="960">
        <f>4887.352+182.822</f>
        <v>5070.174</v>
      </c>
      <c r="AC18" s="967">
        <f t="shared" si="2"/>
        <v>-1.962841518220543</v>
      </c>
      <c r="AD18" s="102" t="s">
        <v>66</v>
      </c>
    </row>
    <row r="19" spans="1:30" ht="12.75" customHeight="1">
      <c r="A19" s="114"/>
      <c r="B19" s="133" t="s">
        <v>67</v>
      </c>
      <c r="C19" s="954">
        <v>1504</v>
      </c>
      <c r="D19" s="955">
        <v>2457</v>
      </c>
      <c r="E19" s="955">
        <v>4670</v>
      </c>
      <c r="F19" s="955">
        <v>4763</v>
      </c>
      <c r="G19" s="955">
        <v>4781</v>
      </c>
      <c r="H19" s="955">
        <v>4814</v>
      </c>
      <c r="I19" s="955">
        <v>4881</v>
      </c>
      <c r="J19" s="955">
        <v>4926</v>
      </c>
      <c r="K19" s="955">
        <v>4976</v>
      </c>
      <c r="L19" s="956">
        <v>5100</v>
      </c>
      <c r="M19" s="955">
        <v>4951.165</v>
      </c>
      <c r="N19" s="955">
        <v>5038.224</v>
      </c>
      <c r="O19" s="955">
        <v>5151.686</v>
      </c>
      <c r="P19" s="955">
        <v>5252.29</v>
      </c>
      <c r="Q19" s="955">
        <v>5292.553000000001</v>
      </c>
      <c r="R19" s="955">
        <v>5298.447</v>
      </c>
      <c r="S19" s="955">
        <v>5314.842</v>
      </c>
      <c r="T19" s="955">
        <v>5346.693</v>
      </c>
      <c r="U19" s="955">
        <v>5344.7919999999995</v>
      </c>
      <c r="V19" s="955">
        <v>5476.045</v>
      </c>
      <c r="W19" s="955">
        <v>5212.01</v>
      </c>
      <c r="X19" s="968">
        <f>6160.805+211.918</f>
        <v>6372.723</v>
      </c>
      <c r="Y19" s="955">
        <f>6161.461+203.848</f>
        <v>6365.309</v>
      </c>
      <c r="Z19" s="955">
        <f>6191.714+202.034</f>
        <v>6393.748</v>
      </c>
      <c r="AA19" s="955">
        <f>6241.045+198.847</f>
        <v>6439.892</v>
      </c>
      <c r="AB19" s="955">
        <f>6351.771+201.954</f>
        <v>6553.724999999999</v>
      </c>
      <c r="AC19" s="969">
        <f t="shared" si="2"/>
        <v>1.7676228110657775</v>
      </c>
      <c r="AD19" s="133" t="s">
        <v>67</v>
      </c>
    </row>
    <row r="20" spans="1:30" ht="12.75" customHeight="1">
      <c r="A20" s="114"/>
      <c r="B20" s="102" t="s">
        <v>148</v>
      </c>
      <c r="C20" s="963"/>
      <c r="D20" s="960"/>
      <c r="E20" s="960"/>
      <c r="F20" s="960"/>
      <c r="G20" s="960"/>
      <c r="H20" s="960">
        <v>51.117000000000004</v>
      </c>
      <c r="I20" s="960">
        <v>64.438</v>
      </c>
      <c r="J20" s="960">
        <v>73.497</v>
      </c>
      <c r="K20" s="960">
        <v>94.921</v>
      </c>
      <c r="L20" s="960">
        <v>109.73400000000001</v>
      </c>
      <c r="M20" s="960">
        <v>115.768</v>
      </c>
      <c r="N20" s="960">
        <v>118.70400000000001</v>
      </c>
      <c r="O20" s="960">
        <v>122.516</v>
      </c>
      <c r="P20" s="960">
        <v>129.497</v>
      </c>
      <c r="Q20" s="960">
        <v>138.74300000000002</v>
      </c>
      <c r="R20" s="960">
        <v>148.27499999999998</v>
      </c>
      <c r="S20" s="960">
        <v>154.79</v>
      </c>
      <c r="T20" s="960">
        <v>162.877</v>
      </c>
      <c r="U20" s="960">
        <v>169.69799999999998</v>
      </c>
      <c r="V20" s="960">
        <v>176.703</v>
      </c>
      <c r="W20" s="960">
        <v>180.30100000000002</v>
      </c>
      <c r="X20" s="960">
        <v>164.761</v>
      </c>
      <c r="Y20" s="960">
        <v>157.731</v>
      </c>
      <c r="Z20" s="960">
        <v>154.884</v>
      </c>
      <c r="AA20" s="960">
        <v>141.567</v>
      </c>
      <c r="AB20" s="960">
        <v>141.491</v>
      </c>
      <c r="AC20" s="967">
        <f t="shared" si="2"/>
        <v>-0.053684827678750935</v>
      </c>
      <c r="AD20" s="102" t="s">
        <v>148</v>
      </c>
    </row>
    <row r="21" spans="1:30" ht="12.75" customHeight="1">
      <c r="A21" s="114"/>
      <c r="B21" s="294" t="s">
        <v>69</v>
      </c>
      <c r="C21" s="970"/>
      <c r="D21" s="971">
        <v>1290.687</v>
      </c>
      <c r="E21" s="971">
        <v>2207.903</v>
      </c>
      <c r="F21" s="971">
        <v>2292.928</v>
      </c>
      <c r="G21" s="971">
        <v>2359.847</v>
      </c>
      <c r="H21" s="971">
        <v>2389.17</v>
      </c>
      <c r="I21" s="971">
        <v>2446.323</v>
      </c>
      <c r="J21" s="971">
        <v>2509.893</v>
      </c>
      <c r="K21" s="971">
        <v>2640.102</v>
      </c>
      <c r="L21" s="971">
        <v>2719.804</v>
      </c>
      <c r="M21" s="971">
        <v>2828.003</v>
      </c>
      <c r="N21" s="971">
        <v>2946.806</v>
      </c>
      <c r="O21" s="971">
        <v>3087.008</v>
      </c>
      <c r="P21" s="971">
        <v>3234.466</v>
      </c>
      <c r="Q21" s="971">
        <v>3429.882</v>
      </c>
      <c r="R21" s="971">
        <v>3590.305</v>
      </c>
      <c r="S21" s="971">
        <v>3645.046</v>
      </c>
      <c r="T21" s="971">
        <v>3785.913</v>
      </c>
      <c r="U21" s="971">
        <v>3914.797</v>
      </c>
      <c r="V21" s="971">
        <v>3996.907</v>
      </c>
      <c r="W21" s="971">
        <v>4072.005</v>
      </c>
      <c r="X21" s="971">
        <v>4102.589</v>
      </c>
      <c r="Y21" s="971">
        <v>4141.791</v>
      </c>
      <c r="Z21" s="971">
        <v>4181.895</v>
      </c>
      <c r="AA21" s="971">
        <v>4143.766</v>
      </c>
      <c r="AB21" s="971">
        <f>3938.026+149.563</f>
        <v>4087.589</v>
      </c>
      <c r="AC21" s="969">
        <f t="shared" si="2"/>
        <v>-1.3556991393818976</v>
      </c>
      <c r="AD21" s="294" t="s">
        <v>69</v>
      </c>
    </row>
    <row r="22" spans="1:30" ht="12.75" customHeight="1">
      <c r="A22" s="114"/>
      <c r="B22" s="102" t="s">
        <v>71</v>
      </c>
      <c r="C22" s="963"/>
      <c r="D22" s="960">
        <v>23.6</v>
      </c>
      <c r="E22" s="960">
        <v>74.325</v>
      </c>
      <c r="F22" s="960"/>
      <c r="G22" s="960"/>
      <c r="H22" s="960"/>
      <c r="I22" s="960"/>
      <c r="J22" s="960">
        <v>101.184</v>
      </c>
      <c r="K22" s="960">
        <v>104.04</v>
      </c>
      <c r="L22" s="960">
        <v>105.657</v>
      </c>
      <c r="M22" s="960">
        <v>109.294</v>
      </c>
      <c r="N22" s="960">
        <v>111.135</v>
      </c>
      <c r="O22" s="960">
        <v>114.666</v>
      </c>
      <c r="P22" s="960">
        <v>117.947</v>
      </c>
      <c r="Q22" s="960">
        <v>117.792</v>
      </c>
      <c r="R22" s="960">
        <v>119.646</v>
      </c>
      <c r="S22" s="960">
        <v>117.825</v>
      </c>
      <c r="T22" s="960">
        <v>118.355</v>
      </c>
      <c r="U22" s="960">
        <v>115.723</v>
      </c>
      <c r="V22" s="960">
        <v>117.498</v>
      </c>
      <c r="W22" s="960">
        <v>121.779</v>
      </c>
      <c r="X22" s="960">
        <v>124.097</v>
      </c>
      <c r="Y22" s="960">
        <v>120.69</v>
      </c>
      <c r="Z22" s="960">
        <v>118.003</v>
      </c>
      <c r="AA22" s="960">
        <v>113.743</v>
      </c>
      <c r="AB22" s="960">
        <v>109.069</v>
      </c>
      <c r="AC22" s="967">
        <f t="shared" si="2"/>
        <v>-4.109263866787401</v>
      </c>
      <c r="AD22" s="102" t="s">
        <v>71</v>
      </c>
    </row>
    <row r="23" spans="1:30" ht="12.75" customHeight="1">
      <c r="A23" s="114"/>
      <c r="B23" s="294" t="s">
        <v>72</v>
      </c>
      <c r="C23" s="970"/>
      <c r="D23" s="971"/>
      <c r="E23" s="971"/>
      <c r="F23" s="971"/>
      <c r="G23" s="971"/>
      <c r="H23" s="971"/>
      <c r="I23" s="971">
        <v>66.436</v>
      </c>
      <c r="J23" s="971">
        <v>68.668</v>
      </c>
      <c r="K23" s="971">
        <v>72.909</v>
      </c>
      <c r="L23" s="971">
        <v>76.771</v>
      </c>
      <c r="M23" s="971">
        <v>84.942</v>
      </c>
      <c r="N23" s="971">
        <v>90.22</v>
      </c>
      <c r="O23" s="971">
        <v>97.081</v>
      </c>
      <c r="P23" s="971">
        <v>99.708</v>
      </c>
      <c r="Q23" s="971">
        <v>102.734</v>
      </c>
      <c r="R23" s="971">
        <v>104.626</v>
      </c>
      <c r="S23" s="971">
        <v>107.553</v>
      </c>
      <c r="T23" s="971">
        <v>113.113</v>
      </c>
      <c r="U23" s="971">
        <v>121.12</v>
      </c>
      <c r="V23" s="971">
        <v>129.614</v>
      </c>
      <c r="W23" s="971">
        <v>129.805</v>
      </c>
      <c r="X23" s="971">
        <v>120.571</v>
      </c>
      <c r="Y23" s="972">
        <v>71.575</v>
      </c>
      <c r="Z23" s="971">
        <v>72.622</v>
      </c>
      <c r="AA23" s="971">
        <v>76.303</v>
      </c>
      <c r="AB23" s="971">
        <v>79.899</v>
      </c>
      <c r="AC23" s="969">
        <f t="shared" si="2"/>
        <v>4.712789798566234</v>
      </c>
      <c r="AD23" s="294" t="s">
        <v>72</v>
      </c>
    </row>
    <row r="24" spans="1:30" ht="12.75" customHeight="1">
      <c r="A24" s="114"/>
      <c r="B24" s="102" t="s">
        <v>73</v>
      </c>
      <c r="C24" s="963"/>
      <c r="D24" s="960">
        <v>65.7</v>
      </c>
      <c r="E24" s="960">
        <v>83</v>
      </c>
      <c r="F24" s="973">
        <f>E24+(H24-E24)*1/3</f>
        <v>88.257</v>
      </c>
      <c r="G24" s="973">
        <f>E24+(H24-E24)*2/3</f>
        <v>93.514</v>
      </c>
      <c r="H24" s="960">
        <v>98.771</v>
      </c>
      <c r="I24" s="960">
        <v>101.06</v>
      </c>
      <c r="J24" s="960">
        <v>108.89099999999999</v>
      </c>
      <c r="K24" s="960">
        <v>89.283</v>
      </c>
      <c r="L24" s="960">
        <v>93.66999999999999</v>
      </c>
      <c r="M24" s="960">
        <v>99.454</v>
      </c>
      <c r="N24" s="960">
        <v>96.576</v>
      </c>
      <c r="O24" s="960">
        <v>98.613</v>
      </c>
      <c r="P24" s="960">
        <v>100.38900000000001</v>
      </c>
      <c r="Q24" s="960">
        <v>105.545</v>
      </c>
      <c r="R24" s="960">
        <v>110.517</v>
      </c>
      <c r="S24" s="960">
        <v>115.677</v>
      </c>
      <c r="T24" s="960">
        <v>122.486</v>
      </c>
      <c r="U24" s="960">
        <v>135.546</v>
      </c>
      <c r="V24" s="960">
        <v>147.583</v>
      </c>
      <c r="W24" s="960">
        <v>150.108</v>
      </c>
      <c r="X24" s="960">
        <v>146.32500000000002</v>
      </c>
      <c r="Y24" s="960">
        <v>133.921</v>
      </c>
      <c r="Z24" s="960">
        <v>136.779</v>
      </c>
      <c r="AA24" s="960">
        <v>138.935</v>
      </c>
      <c r="AB24" s="960">
        <f>115.367+27.671</f>
        <v>143.038</v>
      </c>
      <c r="AC24" s="967">
        <f t="shared" si="2"/>
        <v>2.9531795443912756</v>
      </c>
      <c r="AD24" s="102" t="s">
        <v>73</v>
      </c>
    </row>
    <row r="25" spans="1:30" ht="12.75" customHeight="1">
      <c r="A25" s="114"/>
      <c r="B25" s="294" t="s">
        <v>76</v>
      </c>
      <c r="C25" s="970">
        <v>9</v>
      </c>
      <c r="D25" s="971">
        <v>9</v>
      </c>
      <c r="E25" s="971">
        <v>11.275</v>
      </c>
      <c r="F25" s="971">
        <v>12</v>
      </c>
      <c r="G25" s="971">
        <v>13</v>
      </c>
      <c r="H25" s="971">
        <v>14.641</v>
      </c>
      <c r="I25" s="971">
        <v>15.398</v>
      </c>
      <c r="J25" s="971">
        <v>15.794</v>
      </c>
      <c r="K25" s="971">
        <v>18.380000000000003</v>
      </c>
      <c r="L25" s="971">
        <v>19.378</v>
      </c>
      <c r="M25" s="971">
        <v>20.796</v>
      </c>
      <c r="N25" s="971">
        <v>22.563</v>
      </c>
      <c r="O25" s="971">
        <v>24.667</v>
      </c>
      <c r="P25" s="971">
        <v>26.304000000000002</v>
      </c>
      <c r="Q25" s="971">
        <v>26.953</v>
      </c>
      <c r="R25" s="971">
        <v>27.929</v>
      </c>
      <c r="S25" s="971">
        <v>28.426</v>
      </c>
      <c r="T25" s="971">
        <v>29.588</v>
      </c>
      <c r="U25" s="971">
        <v>30.735000000000003</v>
      </c>
      <c r="V25" s="971">
        <v>32.519999999999996</v>
      </c>
      <c r="W25" s="971">
        <v>34.408</v>
      </c>
      <c r="X25" s="971">
        <v>34.736</v>
      </c>
      <c r="Y25" s="971">
        <v>35.628</v>
      </c>
      <c r="Z25" s="971">
        <v>36.813</v>
      </c>
      <c r="AA25" s="971">
        <f>27.046+5.339+4.934</f>
        <v>37.318999999999996</v>
      </c>
      <c r="AB25" s="971">
        <f>27.635+5.298+4.726</f>
        <v>37.659</v>
      </c>
      <c r="AC25" s="969">
        <f t="shared" si="2"/>
        <v>0.9110640692408793</v>
      </c>
      <c r="AD25" s="294" t="s">
        <v>76</v>
      </c>
    </row>
    <row r="26" spans="1:30" ht="12.75" customHeight="1">
      <c r="A26" s="114"/>
      <c r="B26" s="102" t="s">
        <v>77</v>
      </c>
      <c r="C26" s="963"/>
      <c r="D26" s="960">
        <v>197</v>
      </c>
      <c r="E26" s="960">
        <v>262</v>
      </c>
      <c r="F26" s="960"/>
      <c r="G26" s="960"/>
      <c r="H26" s="960"/>
      <c r="I26" s="960"/>
      <c r="J26" s="974">
        <v>277.97400000000005</v>
      </c>
      <c r="K26" s="975">
        <v>282.204</v>
      </c>
      <c r="L26" s="975">
        <v>295.383</v>
      </c>
      <c r="M26" s="975">
        <v>319.779</v>
      </c>
      <c r="N26" s="975">
        <v>332.503</v>
      </c>
      <c r="O26" s="975">
        <v>352.628</v>
      </c>
      <c r="P26" s="975">
        <v>366.213</v>
      </c>
      <c r="Q26" s="975">
        <v>381.432</v>
      </c>
      <c r="R26" s="975">
        <v>392.029</v>
      </c>
      <c r="S26" s="975">
        <v>395.96200000000005</v>
      </c>
      <c r="T26" s="975">
        <v>412.92100000000005</v>
      </c>
      <c r="U26" s="975">
        <v>429.457</v>
      </c>
      <c r="V26" s="975">
        <v>444.495</v>
      </c>
      <c r="W26" s="975">
        <v>455.891</v>
      </c>
      <c r="X26" s="975">
        <v>452.523</v>
      </c>
      <c r="Y26" s="975">
        <v>451.321</v>
      </c>
      <c r="Z26" s="975">
        <f>402.501+50.262</f>
        <v>452.763</v>
      </c>
      <c r="AA26" s="975">
        <f>401.723+52.596</f>
        <v>454.319</v>
      </c>
      <c r="AB26" s="975">
        <f>406.56+56.089</f>
        <v>462.649</v>
      </c>
      <c r="AC26" s="967">
        <f t="shared" si="2"/>
        <v>1.8335134564039635</v>
      </c>
      <c r="AD26" s="102" t="s">
        <v>77</v>
      </c>
    </row>
    <row r="27" spans="1:30" ht="12.75" customHeight="1">
      <c r="A27" s="114"/>
      <c r="B27" s="294" t="s">
        <v>78</v>
      </c>
      <c r="C27" s="970"/>
      <c r="D27" s="971" t="s">
        <v>222</v>
      </c>
      <c r="E27" s="971" t="s">
        <v>222</v>
      </c>
      <c r="F27" s="971"/>
      <c r="G27" s="971"/>
      <c r="H27" s="971">
        <v>34.024</v>
      </c>
      <c r="I27" s="971">
        <v>37.601</v>
      </c>
      <c r="J27" s="971">
        <v>40.835</v>
      </c>
      <c r="K27" s="971">
        <v>38.431</v>
      </c>
      <c r="L27" s="971">
        <v>46.312</v>
      </c>
      <c r="M27" s="971">
        <v>48.403</v>
      </c>
      <c r="N27" s="971">
        <v>50.047</v>
      </c>
      <c r="O27" s="971">
        <v>51.463</v>
      </c>
      <c r="P27" s="971">
        <v>43.663</v>
      </c>
      <c r="Q27" s="971">
        <v>43.852000000000004</v>
      </c>
      <c r="R27" s="971">
        <v>44.657</v>
      </c>
      <c r="S27" s="971">
        <v>44.575</v>
      </c>
      <c r="T27" s="971">
        <v>44.371</v>
      </c>
      <c r="U27" s="971">
        <v>45.505</v>
      </c>
      <c r="V27" s="971">
        <v>46.853</v>
      </c>
      <c r="W27" s="971">
        <v>48.21</v>
      </c>
      <c r="X27" s="971">
        <v>47.212</v>
      </c>
      <c r="Y27" s="972">
        <f>41.257+1.197</f>
        <v>42.454</v>
      </c>
      <c r="Z27" s="971">
        <f>41.391+1.148</f>
        <v>42.539</v>
      </c>
      <c r="AA27" s="971">
        <f>41.642+1.058</f>
        <v>42.7</v>
      </c>
      <c r="AB27" s="971">
        <f>42.286+1.096</f>
        <v>43.382000000000005</v>
      </c>
      <c r="AC27" s="969">
        <f t="shared" si="2"/>
        <v>1.5971896955503553</v>
      </c>
      <c r="AD27" s="294" t="s">
        <v>78</v>
      </c>
    </row>
    <row r="28" spans="1:30" ht="12.75" customHeight="1">
      <c r="A28" s="114"/>
      <c r="B28" s="102" t="s">
        <v>16</v>
      </c>
      <c r="C28" s="963">
        <v>286</v>
      </c>
      <c r="D28" s="960">
        <v>314</v>
      </c>
      <c r="E28" s="960">
        <v>553</v>
      </c>
      <c r="F28" s="960">
        <v>578</v>
      </c>
      <c r="G28" s="960">
        <v>619</v>
      </c>
      <c r="H28" s="960">
        <v>641</v>
      </c>
      <c r="I28" s="960">
        <v>644</v>
      </c>
      <c r="J28" s="960">
        <v>654</v>
      </c>
      <c r="K28" s="960">
        <v>684</v>
      </c>
      <c r="L28" s="960">
        <v>727</v>
      </c>
      <c r="M28" s="960">
        <v>795</v>
      </c>
      <c r="N28" s="960">
        <v>836.047</v>
      </c>
      <c r="O28" s="960">
        <v>898.9979999999999</v>
      </c>
      <c r="P28" s="960">
        <v>942.3130000000001</v>
      </c>
      <c r="Q28" s="960">
        <v>980.267</v>
      </c>
      <c r="R28" s="960">
        <v>1009.642</v>
      </c>
      <c r="S28" s="960">
        <v>1035.593</v>
      </c>
      <c r="T28" s="960">
        <v>1004.5060000000001</v>
      </c>
      <c r="U28" s="960">
        <v>995.733</v>
      </c>
      <c r="V28" s="960">
        <v>1010.402</v>
      </c>
      <c r="W28" s="960">
        <v>1025.906</v>
      </c>
      <c r="X28" s="960">
        <v>1017.2829999999999</v>
      </c>
      <c r="Y28" s="960">
        <v>1003.9649999999999</v>
      </c>
      <c r="Z28" s="960">
        <v>990.698</v>
      </c>
      <c r="AA28" s="960">
        <v>969.639</v>
      </c>
      <c r="AB28" s="960">
        <f>815.169+65.046+71.063</f>
        <v>951.278</v>
      </c>
      <c r="AC28" s="967">
        <f t="shared" si="2"/>
        <v>-1.8935913262564696</v>
      </c>
      <c r="AD28" s="102" t="s">
        <v>16</v>
      </c>
    </row>
    <row r="29" spans="1:30" ht="12.75" customHeight="1">
      <c r="A29" s="114"/>
      <c r="B29" s="294" t="s">
        <v>81</v>
      </c>
      <c r="C29" s="970">
        <v>122.29</v>
      </c>
      <c r="D29" s="971">
        <v>189.25</v>
      </c>
      <c r="E29" s="971">
        <v>261.84</v>
      </c>
      <c r="F29" s="971">
        <v>269.279</v>
      </c>
      <c r="G29" s="971">
        <v>279.945</v>
      </c>
      <c r="H29" s="971">
        <v>286.67900000000003</v>
      </c>
      <c r="I29" s="971">
        <v>294.92499999999995</v>
      </c>
      <c r="J29" s="971">
        <v>302.90700000000004</v>
      </c>
      <c r="K29" s="971">
        <v>306.917</v>
      </c>
      <c r="L29" s="971">
        <v>315.058</v>
      </c>
      <c r="M29" s="971">
        <v>325.335</v>
      </c>
      <c r="N29" s="971">
        <v>335.772</v>
      </c>
      <c r="O29" s="971">
        <v>344.466</v>
      </c>
      <c r="P29" s="976">
        <v>349.67</v>
      </c>
      <c r="Q29" s="971">
        <v>338.794</v>
      </c>
      <c r="R29" s="971">
        <v>345.621</v>
      </c>
      <c r="S29" s="971">
        <v>353.055</v>
      </c>
      <c r="T29" s="971">
        <v>358.049</v>
      </c>
      <c r="U29" s="971">
        <v>364.32300000000004</v>
      </c>
      <c r="V29" s="971">
        <v>372.64500000000004</v>
      </c>
      <c r="W29" s="971">
        <v>381.338</v>
      </c>
      <c r="X29" s="971">
        <v>387.972</v>
      </c>
      <c r="Y29" s="971">
        <v>396.78799999999995</v>
      </c>
      <c r="Z29" s="971">
        <v>407.452</v>
      </c>
      <c r="AA29" s="971">
        <v>416.535</v>
      </c>
      <c r="AB29" s="971">
        <f>408.56+16.192</f>
        <v>424.752</v>
      </c>
      <c r="AC29" s="969">
        <f t="shared" si="2"/>
        <v>1.972703374266274</v>
      </c>
      <c r="AD29" s="294" t="s">
        <v>81</v>
      </c>
    </row>
    <row r="30" spans="1:30" ht="12.75" customHeight="1">
      <c r="A30" s="114"/>
      <c r="B30" s="102" t="s">
        <v>80</v>
      </c>
      <c r="C30" s="963"/>
      <c r="D30" s="960" t="s">
        <v>222</v>
      </c>
      <c r="E30" s="960" t="s">
        <v>222</v>
      </c>
      <c r="F30" s="960"/>
      <c r="G30" s="960"/>
      <c r="H30" s="960">
        <v>999.845</v>
      </c>
      <c r="I30" s="960">
        <v>1053.979</v>
      </c>
      <c r="J30" s="960">
        <v>1354.099</v>
      </c>
      <c r="K30" s="960">
        <v>1431.357</v>
      </c>
      <c r="L30" s="960">
        <v>1487.4389999999999</v>
      </c>
      <c r="M30" s="960">
        <v>1562.814</v>
      </c>
      <c r="N30" s="960">
        <v>1682.887</v>
      </c>
      <c r="O30" s="960">
        <v>1879.068</v>
      </c>
      <c r="P30" s="960">
        <v>1979.293</v>
      </c>
      <c r="Q30" s="960">
        <v>2162.614</v>
      </c>
      <c r="R30" s="960">
        <v>2313.4190000000003</v>
      </c>
      <c r="S30" s="960">
        <v>2391.605</v>
      </c>
      <c r="T30" s="960">
        <v>2304.505</v>
      </c>
      <c r="U30" s="960">
        <v>2392.658</v>
      </c>
      <c r="V30" s="960">
        <v>2520.5480000000002</v>
      </c>
      <c r="W30" s="960">
        <v>2709.697</v>
      </c>
      <c r="X30" s="960">
        <v>2796.7670000000003</v>
      </c>
      <c r="Y30" s="960">
        <v>2981.616</v>
      </c>
      <c r="Z30" s="960">
        <v>3130.729</v>
      </c>
      <c r="AA30" s="960">
        <v>3178.005</v>
      </c>
      <c r="AB30" s="960">
        <f>2962.064+280.42</f>
        <v>3242.484</v>
      </c>
      <c r="AC30" s="967">
        <f t="shared" si="2"/>
        <v>2.0289143660881592</v>
      </c>
      <c r="AD30" s="102" t="s">
        <v>80</v>
      </c>
    </row>
    <row r="31" spans="1:30" ht="12.75" customHeight="1">
      <c r="A31" s="114"/>
      <c r="B31" s="294" t="s">
        <v>92</v>
      </c>
      <c r="C31" s="970">
        <v>157</v>
      </c>
      <c r="D31" s="971">
        <v>350</v>
      </c>
      <c r="E31" s="971">
        <v>781</v>
      </c>
      <c r="F31" s="971">
        <v>847</v>
      </c>
      <c r="G31" s="971">
        <v>928</v>
      </c>
      <c r="H31" s="976">
        <v>1011</v>
      </c>
      <c r="I31" s="971">
        <v>868.246</v>
      </c>
      <c r="J31" s="971">
        <v>912.29</v>
      </c>
      <c r="K31" s="971">
        <v>969.699</v>
      </c>
      <c r="L31" s="971">
        <v>1076.556</v>
      </c>
      <c r="M31" s="971">
        <v>1105.287</v>
      </c>
      <c r="N31" s="971">
        <v>1232.312</v>
      </c>
      <c r="O31" s="971">
        <v>1313.223</v>
      </c>
      <c r="P31" s="971">
        <v>1401.305</v>
      </c>
      <c r="Q31" s="971">
        <v>1377.335</v>
      </c>
      <c r="R31" s="971">
        <v>1256.858</v>
      </c>
      <c r="S31" s="977">
        <v>1300</v>
      </c>
      <c r="T31" s="977">
        <v>1308</v>
      </c>
      <c r="U31" s="971">
        <v>1320</v>
      </c>
      <c r="V31" s="971">
        <v>1333</v>
      </c>
      <c r="W31" s="977">
        <v>1335</v>
      </c>
      <c r="X31" s="971">
        <v>1337</v>
      </c>
      <c r="Y31" s="971">
        <v>1337</v>
      </c>
      <c r="Z31" s="971">
        <v>1335.5</v>
      </c>
      <c r="AA31" s="971">
        <f>1170+125</f>
        <v>1295</v>
      </c>
      <c r="AB31" s="971">
        <v>1258.3999999999999</v>
      </c>
      <c r="AC31" s="969">
        <f t="shared" si="2"/>
        <v>-2.8262548262548393</v>
      </c>
      <c r="AD31" s="294" t="s">
        <v>92</v>
      </c>
    </row>
    <row r="32" spans="1:30" ht="12.75" customHeight="1">
      <c r="A32" s="114"/>
      <c r="B32" s="102" t="s">
        <v>102</v>
      </c>
      <c r="C32" s="963"/>
      <c r="D32" s="960">
        <v>250</v>
      </c>
      <c r="E32" s="960">
        <v>258.701</v>
      </c>
      <c r="F32" s="960">
        <v>259.566</v>
      </c>
      <c r="G32" s="960">
        <v>275.487</v>
      </c>
      <c r="H32" s="960">
        <v>298.318</v>
      </c>
      <c r="I32" s="960">
        <v>322.417</v>
      </c>
      <c r="J32" s="960">
        <v>343.064</v>
      </c>
      <c r="K32" s="960">
        <v>376.817</v>
      </c>
      <c r="L32" s="960">
        <v>390.181</v>
      </c>
      <c r="M32" s="960">
        <v>405.743</v>
      </c>
      <c r="N32" s="960">
        <v>417.78</v>
      </c>
      <c r="O32" s="960">
        <v>427.152</v>
      </c>
      <c r="P32" s="960">
        <v>437.968</v>
      </c>
      <c r="Q32" s="960">
        <v>447.299</v>
      </c>
      <c r="R32" s="960">
        <v>463.099</v>
      </c>
      <c r="S32" s="960">
        <v>482.425</v>
      </c>
      <c r="T32" s="960">
        <v>493.821</v>
      </c>
      <c r="U32" s="964">
        <v>545.3</v>
      </c>
      <c r="V32" s="960">
        <v>501.957</v>
      </c>
      <c r="W32" s="960">
        <v>645.34</v>
      </c>
      <c r="X32" s="960">
        <v>661.9</v>
      </c>
      <c r="Y32" s="960">
        <v>667.219</v>
      </c>
      <c r="Z32" s="960">
        <v>696.26</v>
      </c>
      <c r="AA32" s="960">
        <v>719.926</v>
      </c>
      <c r="AB32" s="960">
        <v>761.554</v>
      </c>
      <c r="AC32" s="967">
        <f t="shared" si="2"/>
        <v>5.782260954598101</v>
      </c>
      <c r="AD32" s="102" t="s">
        <v>102</v>
      </c>
    </row>
    <row r="33" spans="1:30" ht="12.75" customHeight="1">
      <c r="A33" s="114"/>
      <c r="B33" s="294" t="s">
        <v>83</v>
      </c>
      <c r="C33" s="970">
        <v>15.946</v>
      </c>
      <c r="D33" s="971">
        <v>28.455</v>
      </c>
      <c r="E33" s="971">
        <v>30.767</v>
      </c>
      <c r="F33" s="976">
        <v>30.772</v>
      </c>
      <c r="G33" s="971">
        <v>34.535000000000004</v>
      </c>
      <c r="H33" s="971">
        <v>36.976000000000006</v>
      </c>
      <c r="I33" s="971">
        <v>38.852000000000004</v>
      </c>
      <c r="J33" s="971">
        <v>42.867</v>
      </c>
      <c r="K33" s="971">
        <v>45.589</v>
      </c>
      <c r="L33" s="971">
        <v>47.88</v>
      </c>
      <c r="M33" s="971">
        <v>49.513000000000005</v>
      </c>
      <c r="N33" s="971">
        <v>51.741</v>
      </c>
      <c r="O33" s="971">
        <v>54.263</v>
      </c>
      <c r="P33" s="971">
        <v>56.114999999999995</v>
      </c>
      <c r="Q33" s="971">
        <v>57.9</v>
      </c>
      <c r="R33" s="971">
        <v>59.801</v>
      </c>
      <c r="S33" s="971">
        <v>63.178</v>
      </c>
      <c r="T33" s="971">
        <v>66.447</v>
      </c>
      <c r="U33" s="971">
        <v>70.132</v>
      </c>
      <c r="V33" s="971">
        <v>77.568</v>
      </c>
      <c r="W33" s="971">
        <v>83.909</v>
      </c>
      <c r="X33" s="971">
        <v>83.633</v>
      </c>
      <c r="Y33" s="971">
        <v>84.107</v>
      </c>
      <c r="Z33" s="971">
        <v>84.644</v>
      </c>
      <c r="AA33" s="971">
        <v>84.408</v>
      </c>
      <c r="AB33" s="971">
        <f>68.264+9.638+7.036</f>
        <v>84.938</v>
      </c>
      <c r="AC33" s="969">
        <f t="shared" si="2"/>
        <v>0.6279025684769124</v>
      </c>
      <c r="AD33" s="294" t="s">
        <v>83</v>
      </c>
    </row>
    <row r="34" spans="1:30" ht="12.75" customHeight="1">
      <c r="A34" s="114"/>
      <c r="B34" s="102" t="s">
        <v>85</v>
      </c>
      <c r="C34" s="958"/>
      <c r="D34" s="959"/>
      <c r="E34" s="959">
        <v>91.994</v>
      </c>
      <c r="F34" s="960">
        <v>95.336</v>
      </c>
      <c r="G34" s="960">
        <v>102.295</v>
      </c>
      <c r="H34" s="960">
        <v>101.552</v>
      </c>
      <c r="I34" s="960">
        <v>102.47</v>
      </c>
      <c r="J34" s="960">
        <v>102.634</v>
      </c>
      <c r="K34" s="960">
        <v>97.078</v>
      </c>
      <c r="L34" s="960">
        <v>103.68</v>
      </c>
      <c r="M34" s="960">
        <v>112.802</v>
      </c>
      <c r="N34" s="960">
        <v>118.28699999999999</v>
      </c>
      <c r="O34" s="960">
        <v>113.995</v>
      </c>
      <c r="P34" s="960">
        <v>125.393</v>
      </c>
      <c r="Q34" s="960">
        <v>137.171</v>
      </c>
      <c r="R34" s="960">
        <v>150.99099999999999</v>
      </c>
      <c r="S34" s="960">
        <v>151.83</v>
      </c>
      <c r="T34" s="960">
        <v>174.23</v>
      </c>
      <c r="U34" s="960">
        <v>189.256</v>
      </c>
      <c r="V34" s="960">
        <v>215.697</v>
      </c>
      <c r="W34" s="960">
        <v>248.66199999999998</v>
      </c>
      <c r="X34" s="960">
        <v>269.322</v>
      </c>
      <c r="Y34" s="960">
        <v>276.04900000000004</v>
      </c>
      <c r="Z34" s="960">
        <v>281.81100000000004</v>
      </c>
      <c r="AA34" s="960">
        <v>285.978</v>
      </c>
      <c r="AB34" s="960">
        <f>261.84+27.561</f>
        <v>289.40099999999995</v>
      </c>
      <c r="AC34" s="967">
        <f t="shared" si="2"/>
        <v>1.1969452195623234</v>
      </c>
      <c r="AD34" s="102" t="s">
        <v>85</v>
      </c>
    </row>
    <row r="35" spans="1:30" ht="12.75" customHeight="1">
      <c r="A35" s="114"/>
      <c r="B35" s="294" t="s">
        <v>87</v>
      </c>
      <c r="C35" s="970">
        <v>103</v>
      </c>
      <c r="D35" s="971">
        <v>149</v>
      </c>
      <c r="E35" s="971">
        <v>264.157</v>
      </c>
      <c r="F35" s="971">
        <v>263.8</v>
      </c>
      <c r="G35" s="971">
        <v>263</v>
      </c>
      <c r="H35" s="971">
        <v>253.109</v>
      </c>
      <c r="I35" s="971">
        <v>246.553</v>
      </c>
      <c r="J35" s="971">
        <v>252.032</v>
      </c>
      <c r="K35" s="971">
        <v>258.697</v>
      </c>
      <c r="L35" s="971">
        <v>266.944</v>
      </c>
      <c r="M35" s="971">
        <v>280.61</v>
      </c>
      <c r="N35" s="971">
        <v>293.707</v>
      </c>
      <c r="O35" s="971">
        <v>304.318</v>
      </c>
      <c r="P35" s="971">
        <v>312.557</v>
      </c>
      <c r="Q35" s="971">
        <v>319.699</v>
      </c>
      <c r="R35" s="971">
        <v>327.122</v>
      </c>
      <c r="S35" s="971">
        <v>355.16400000000004</v>
      </c>
      <c r="T35" s="971">
        <v>363.644</v>
      </c>
      <c r="U35" s="971">
        <v>376.092</v>
      </c>
      <c r="V35" s="971">
        <v>394.718</v>
      </c>
      <c r="W35" s="971">
        <v>424.49800000000005</v>
      </c>
      <c r="X35" s="971">
        <v>443.912</v>
      </c>
      <c r="Y35" s="971">
        <v>464.408</v>
      </c>
      <c r="Z35" s="971">
        <v>488.939</v>
      </c>
      <c r="AA35" s="971">
        <v>508.011</v>
      </c>
      <c r="AB35" s="971">
        <f>391.952+134.146</f>
        <v>526.098</v>
      </c>
      <c r="AC35" s="969">
        <f t="shared" si="2"/>
        <v>3.5603559765438035</v>
      </c>
      <c r="AD35" s="294" t="s">
        <v>87</v>
      </c>
    </row>
    <row r="36" spans="1:30" ht="12.75" customHeight="1">
      <c r="A36" s="114"/>
      <c r="B36" s="102" t="s">
        <v>88</v>
      </c>
      <c r="C36" s="963">
        <v>145</v>
      </c>
      <c r="D36" s="960">
        <v>181.57</v>
      </c>
      <c r="E36" s="960">
        <v>309.52</v>
      </c>
      <c r="F36" s="960">
        <v>309.81</v>
      </c>
      <c r="G36" s="960">
        <v>304.99</v>
      </c>
      <c r="H36" s="960">
        <v>305.68600000000004</v>
      </c>
      <c r="I36" s="960">
        <v>307.916</v>
      </c>
      <c r="J36" s="960">
        <v>307.709</v>
      </c>
      <c r="K36" s="960">
        <v>311.751</v>
      </c>
      <c r="L36" s="960">
        <v>321.31</v>
      </c>
      <c r="M36" s="960">
        <v>337.973</v>
      </c>
      <c r="N36" s="960">
        <v>354.293</v>
      </c>
      <c r="O36" s="960">
        <v>374.222</v>
      </c>
      <c r="P36" s="960">
        <v>395.693</v>
      </c>
      <c r="Q36" s="960">
        <v>408.94</v>
      </c>
      <c r="R36" s="960">
        <v>421.561</v>
      </c>
      <c r="S36" s="960">
        <v>439.985</v>
      </c>
      <c r="T36" s="960">
        <v>461.161</v>
      </c>
      <c r="U36" s="960">
        <v>479.794</v>
      </c>
      <c r="V36" s="960">
        <v>504.085</v>
      </c>
      <c r="W36" s="960">
        <v>510.199</v>
      </c>
      <c r="X36" s="960">
        <v>514.576</v>
      </c>
      <c r="Y36" s="960">
        <v>526.441</v>
      </c>
      <c r="Z36" s="960">
        <v>548.272</v>
      </c>
      <c r="AA36" s="960">
        <v>556.821</v>
      </c>
      <c r="AB36" s="960">
        <v>565.182</v>
      </c>
      <c r="AC36" s="967">
        <f t="shared" si="2"/>
        <v>1.501559747207807</v>
      </c>
      <c r="AD36" s="102" t="s">
        <v>88</v>
      </c>
    </row>
    <row r="37" spans="1:30" ht="12.75" customHeight="1">
      <c r="A37" s="114"/>
      <c r="B37" s="477" t="s">
        <v>13</v>
      </c>
      <c r="C37" s="978">
        <v>1749</v>
      </c>
      <c r="D37" s="979">
        <v>1828</v>
      </c>
      <c r="E37" s="979">
        <v>2706</v>
      </c>
      <c r="F37" s="979">
        <v>2640</v>
      </c>
      <c r="G37" s="979">
        <v>2639</v>
      </c>
      <c r="H37" s="979">
        <v>2589</v>
      </c>
      <c r="I37" s="979">
        <v>2585</v>
      </c>
      <c r="J37" s="979">
        <v>2565</v>
      </c>
      <c r="K37" s="979">
        <v>2618</v>
      </c>
      <c r="L37" s="980">
        <v>2679</v>
      </c>
      <c r="M37" s="979">
        <v>2789</v>
      </c>
      <c r="N37" s="979">
        <v>2872.7</v>
      </c>
      <c r="O37" s="979">
        <v>2928.3</v>
      </c>
      <c r="P37" s="979">
        <v>3019.6</v>
      </c>
      <c r="Q37" s="979">
        <v>3111.9</v>
      </c>
      <c r="R37" s="979">
        <v>3236.6</v>
      </c>
      <c r="S37" s="979">
        <v>3425.2</v>
      </c>
      <c r="T37" s="979">
        <v>3552.4</v>
      </c>
      <c r="U37" s="979">
        <v>3641.1</v>
      </c>
      <c r="V37" s="979">
        <v>3778.7000000000003</v>
      </c>
      <c r="W37" s="979">
        <v>3805.8</v>
      </c>
      <c r="X37" s="979">
        <v>3782.07</v>
      </c>
      <c r="Y37" s="979">
        <v>3796.8630000000003</v>
      </c>
      <c r="Z37" s="979">
        <v>3833.235</v>
      </c>
      <c r="AA37" s="979">
        <f>3280.6+460.6+97.087+22.384</f>
        <v>3860.671</v>
      </c>
      <c r="AB37" s="979">
        <f>3353.9+468.9+117.498</f>
        <v>3940.2980000000002</v>
      </c>
      <c r="AC37" s="981">
        <f t="shared" si="2"/>
        <v>2.0625171116627143</v>
      </c>
      <c r="AD37" s="477" t="s">
        <v>13</v>
      </c>
    </row>
    <row r="38" spans="1:30" ht="12.75" customHeight="1">
      <c r="A38" s="114"/>
      <c r="B38" s="104" t="s">
        <v>310</v>
      </c>
      <c r="C38" s="982"/>
      <c r="D38" s="951"/>
      <c r="E38" s="960"/>
      <c r="F38" s="960"/>
      <c r="G38" s="960"/>
      <c r="H38" s="960">
        <v>39.335</v>
      </c>
      <c r="I38" s="960">
        <v>51.113</v>
      </c>
      <c r="J38" s="960">
        <v>29.124</v>
      </c>
      <c r="K38" s="960">
        <v>30.612000000000002</v>
      </c>
      <c r="L38" s="960">
        <v>33.256</v>
      </c>
      <c r="M38" s="960">
        <v>37.109</v>
      </c>
      <c r="N38" s="960">
        <v>37.126</v>
      </c>
      <c r="O38" s="960">
        <v>45.575</v>
      </c>
      <c r="P38" s="960">
        <v>52.321</v>
      </c>
      <c r="Q38" s="960">
        <v>54.63</v>
      </c>
      <c r="R38" s="960">
        <v>56.857</v>
      </c>
      <c r="S38" s="960">
        <v>48.775</v>
      </c>
      <c r="T38" s="960">
        <v>47.333</v>
      </c>
      <c r="U38" s="960">
        <v>41.318000000000005</v>
      </c>
      <c r="V38" s="960">
        <v>61.621</v>
      </c>
      <c r="W38" s="960">
        <v>79.054</v>
      </c>
      <c r="X38" s="960">
        <v>79.901</v>
      </c>
      <c r="Y38" s="960">
        <v>84.311</v>
      </c>
      <c r="Z38" s="960">
        <v>71.291</v>
      </c>
      <c r="AA38" s="960">
        <v>60.165</v>
      </c>
      <c r="AB38" s="960">
        <v>65.26</v>
      </c>
      <c r="AC38" s="967">
        <f t="shared" si="2"/>
        <v>8.46837862544669</v>
      </c>
      <c r="AD38" s="102" t="s">
        <v>310</v>
      </c>
    </row>
    <row r="39" spans="1:30" ht="12.75" customHeight="1">
      <c r="A39" s="114"/>
      <c r="B39" s="294" t="s">
        <v>244</v>
      </c>
      <c r="C39" s="970"/>
      <c r="D39" s="971"/>
      <c r="E39" s="971"/>
      <c r="F39" s="971"/>
      <c r="G39" s="971"/>
      <c r="H39" s="971"/>
      <c r="I39" s="971"/>
      <c r="J39" s="971"/>
      <c r="K39" s="971"/>
      <c r="L39" s="971"/>
      <c r="M39" s="971"/>
      <c r="N39" s="971"/>
      <c r="O39" s="971"/>
      <c r="P39" s="971"/>
      <c r="Q39" s="971"/>
      <c r="R39" s="971"/>
      <c r="S39" s="971"/>
      <c r="T39" s="971"/>
      <c r="U39" s="971"/>
      <c r="V39" s="971"/>
      <c r="W39" s="971"/>
      <c r="X39" s="971"/>
      <c r="Y39" s="971"/>
      <c r="Z39" s="971">
        <f>12.394+1.095</f>
        <v>13.489</v>
      </c>
      <c r="AA39" s="971">
        <f>1.03+12.638</f>
        <v>13.668</v>
      </c>
      <c r="AB39" s="971">
        <f>12.848+0.959</f>
        <v>13.807</v>
      </c>
      <c r="AC39" s="969">
        <f t="shared" si="2"/>
        <v>1.016973953760612</v>
      </c>
      <c r="AD39" s="294" t="s">
        <v>244</v>
      </c>
    </row>
    <row r="40" spans="1:30" ht="12.75" customHeight="1">
      <c r="A40" s="114"/>
      <c r="B40" s="102" t="s">
        <v>149</v>
      </c>
      <c r="C40" s="963"/>
      <c r="D40" s="960"/>
      <c r="E40" s="960"/>
      <c r="F40" s="960"/>
      <c r="G40" s="960"/>
      <c r="H40" s="960">
        <v>20.104</v>
      </c>
      <c r="I40" s="960">
        <v>20.026</v>
      </c>
      <c r="J40" s="960">
        <v>22.558</v>
      </c>
      <c r="K40" s="960">
        <v>21.937</v>
      </c>
      <c r="L40" s="960">
        <v>23.286</v>
      </c>
      <c r="M40" s="960">
        <v>23.44</v>
      </c>
      <c r="N40" s="960">
        <v>23.47</v>
      </c>
      <c r="O40" s="960">
        <v>24.628</v>
      </c>
      <c r="P40" s="960">
        <v>25.896</v>
      </c>
      <c r="Q40" s="960">
        <v>24.318</v>
      </c>
      <c r="R40" s="960">
        <f>19.042+3.952</f>
        <v>22.994</v>
      </c>
      <c r="S40" s="960">
        <f>15.196+3.194</f>
        <v>18.39</v>
      </c>
      <c r="T40" s="960">
        <f>14.702+3.339</f>
        <v>18.041</v>
      </c>
      <c r="U40" s="960">
        <f>13.545+3.411</f>
        <v>16.956</v>
      </c>
      <c r="V40" s="960">
        <f>12.981+3.575</f>
        <v>16.556</v>
      </c>
      <c r="W40" s="960">
        <f>13.325+3.94</f>
        <v>17.265</v>
      </c>
      <c r="X40" s="965">
        <f>27.771+4.263</f>
        <v>32.034</v>
      </c>
      <c r="Y40" s="960">
        <f>28.795+4.505</f>
        <v>33.300000000000004</v>
      </c>
      <c r="Z40" s="960">
        <f>27.917+4.636</f>
        <v>32.553000000000004</v>
      </c>
      <c r="AA40" s="960">
        <f>26.542+4.219</f>
        <v>30.761000000000003</v>
      </c>
      <c r="AB40" s="960">
        <f>30.167+4.934</f>
        <v>35.101</v>
      </c>
      <c r="AC40" s="967">
        <f t="shared" si="2"/>
        <v>14.108774097070963</v>
      </c>
      <c r="AD40" s="102" t="s">
        <v>149</v>
      </c>
    </row>
    <row r="41" spans="1:30" ht="12.75" customHeight="1">
      <c r="A41" s="114"/>
      <c r="B41" s="294" t="s">
        <v>245</v>
      </c>
      <c r="C41" s="970"/>
      <c r="D41" s="971"/>
      <c r="E41" s="971"/>
      <c r="F41" s="971"/>
      <c r="G41" s="971"/>
      <c r="H41" s="971"/>
      <c r="I41" s="971"/>
      <c r="J41" s="971"/>
      <c r="K41" s="971"/>
      <c r="L41" s="971"/>
      <c r="M41" s="971"/>
      <c r="N41" s="971"/>
      <c r="O41" s="971"/>
      <c r="P41" s="971">
        <v>100.724</v>
      </c>
      <c r="Q41" s="971">
        <v>98.242</v>
      </c>
      <c r="R41" s="971">
        <v>102.916</v>
      </c>
      <c r="S41" s="971">
        <v>110.912</v>
      </c>
      <c r="T41" s="971">
        <v>118.259</v>
      </c>
      <c r="U41" s="971">
        <v>127.909</v>
      </c>
      <c r="V41" s="971">
        <v>131.459</v>
      </c>
      <c r="W41" s="971">
        <v>140.921</v>
      </c>
      <c r="X41" s="971">
        <v>149.689</v>
      </c>
      <c r="Y41" s="972">
        <v>151.687</v>
      </c>
      <c r="Z41" s="971">
        <v>159.455</v>
      </c>
      <c r="AA41" s="971">
        <v>144.075</v>
      </c>
      <c r="AB41" s="971">
        <v>140.819</v>
      </c>
      <c r="AC41" s="969">
        <f t="shared" si="2"/>
        <v>-2.259934062120422</v>
      </c>
      <c r="AD41" s="294" t="s">
        <v>245</v>
      </c>
    </row>
    <row r="42" spans="1:30" ht="12.75" customHeight="1">
      <c r="A42" s="114"/>
      <c r="B42" s="103" t="s">
        <v>150</v>
      </c>
      <c r="C42" s="983"/>
      <c r="D42" s="984" t="s">
        <v>222</v>
      </c>
      <c r="E42" s="984" t="s">
        <v>222</v>
      </c>
      <c r="F42" s="984"/>
      <c r="G42" s="984">
        <f>308.18+379.41</f>
        <v>687.59</v>
      </c>
      <c r="H42" s="984">
        <f>354.29+406.398</f>
        <v>760.6880000000001</v>
      </c>
      <c r="I42" s="984">
        <f>374.473+419.374</f>
        <v>793.847</v>
      </c>
      <c r="J42" s="984">
        <f>397.743+432.216</f>
        <v>829.9590000000001</v>
      </c>
      <c r="K42" s="984">
        <f>442.788+453.796</f>
        <v>896.5840000000001</v>
      </c>
      <c r="L42" s="984">
        <f>529.838+489.071</f>
        <v>1018.909</v>
      </c>
      <c r="M42" s="984">
        <f>626.004+519.749</f>
        <v>1145.7530000000002</v>
      </c>
      <c r="N42" s="984">
        <f>692.935+531.69</f>
        <v>1224.625</v>
      </c>
      <c r="O42" s="984">
        <f>794.459+557.295</f>
        <v>1351.754</v>
      </c>
      <c r="P42" s="984">
        <f>833.175+562.063</f>
        <v>1395.2379999999998</v>
      </c>
      <c r="Q42" s="984">
        <f>875.381+567.152</f>
        <v>1442.533</v>
      </c>
      <c r="R42" s="984">
        <f>973.457+579.01</f>
        <v>1552.467</v>
      </c>
      <c r="S42" s="984">
        <f>1259.867+647.42</f>
        <v>1907.2869999999998</v>
      </c>
      <c r="T42" s="984">
        <f>1475.057+676.929</f>
        <v>2151.986</v>
      </c>
      <c r="U42" s="984">
        <f>1695.624+709.535</f>
        <v>2405.159</v>
      </c>
      <c r="V42" s="984">
        <f>1890.459+729.202</f>
        <v>2619.661</v>
      </c>
      <c r="W42" s="984">
        <f>2066.007+744.217</f>
        <v>2810.224</v>
      </c>
      <c r="X42" s="984">
        <f>2204.951+727.302</f>
        <v>2932.253</v>
      </c>
      <c r="Y42" s="984">
        <f>2399.038+726.359</f>
        <v>3125.397</v>
      </c>
      <c r="Z42" s="984">
        <f>2611.104+728.458</f>
        <v>3339.562</v>
      </c>
      <c r="AA42" s="984">
        <f>2794.606+751.65</f>
        <v>3546.2560000000003</v>
      </c>
      <c r="AB42" s="984">
        <f>2933.05+755.95</f>
        <v>3689</v>
      </c>
      <c r="AC42" s="985">
        <f t="shared" si="2"/>
        <v>4.0252029182326226</v>
      </c>
      <c r="AD42" s="103" t="s">
        <v>150</v>
      </c>
    </row>
    <row r="43" spans="1:30" ht="12.75" customHeight="1">
      <c r="A43" s="114"/>
      <c r="B43" s="522" t="s">
        <v>151</v>
      </c>
      <c r="C43" s="986"/>
      <c r="D43" s="987" t="s">
        <v>222</v>
      </c>
      <c r="E43" s="987">
        <f>7.707+5.415</f>
        <v>13.122</v>
      </c>
      <c r="F43" s="987">
        <f>7.615+7.008</f>
        <v>14.623000000000001</v>
      </c>
      <c r="G43" s="987">
        <f>6.777+8.068</f>
        <v>14.844999999999999</v>
      </c>
      <c r="H43" s="987">
        <f>6.506+7.945</f>
        <v>14.451</v>
      </c>
      <c r="I43" s="987">
        <f>6.392+7.956</f>
        <v>14.348</v>
      </c>
      <c r="J43" s="987">
        <f>6.445+8.312</f>
        <v>14.757</v>
      </c>
      <c r="K43" s="987">
        <f>6.594+8.666</f>
        <v>15.260000000000002</v>
      </c>
      <c r="L43" s="987">
        <f>6.812+9.216</f>
        <v>16.028</v>
      </c>
      <c r="M43" s="987">
        <f>6.76+9.79</f>
        <v>16.549999999999997</v>
      </c>
      <c r="N43" s="987">
        <f>7.028+10.779</f>
        <v>17.807</v>
      </c>
      <c r="O43" s="987">
        <f>7.466+11.966</f>
        <v>19.432</v>
      </c>
      <c r="P43" s="987">
        <f>7.618+12.372</f>
        <v>19.990000000000002</v>
      </c>
      <c r="Q43" s="987">
        <f>7.664+12.614</f>
        <v>20.278</v>
      </c>
      <c r="R43" s="987">
        <f>8.04+13.195</f>
        <v>21.235</v>
      </c>
      <c r="S43" s="987">
        <v>23.035</v>
      </c>
      <c r="T43" s="987">
        <f>9.508+16.036</f>
        <v>25.544</v>
      </c>
      <c r="U43" s="987">
        <v>28.087</v>
      </c>
      <c r="V43" s="987">
        <v>31.095</v>
      </c>
      <c r="W43" s="987">
        <v>31.819</v>
      </c>
      <c r="X43" s="987">
        <f>10.458+20.465</f>
        <v>30.923000000000002</v>
      </c>
      <c r="Y43" s="987">
        <v>30.437</v>
      </c>
      <c r="Z43" s="987">
        <v>30.209</v>
      </c>
      <c r="AA43" s="987">
        <v>30.338</v>
      </c>
      <c r="AB43" s="987">
        <v>30.657</v>
      </c>
      <c r="AC43" s="988">
        <f t="shared" si="2"/>
        <v>1.0514865844815091</v>
      </c>
      <c r="AD43" s="522" t="s">
        <v>151</v>
      </c>
    </row>
    <row r="44" spans="1:30" ht="12.75" customHeight="1">
      <c r="A44" s="114"/>
      <c r="B44" s="102" t="s">
        <v>152</v>
      </c>
      <c r="C44" s="963"/>
      <c r="D44" s="960" t="s">
        <v>222</v>
      </c>
      <c r="E44" s="960">
        <v>308.299</v>
      </c>
      <c r="F44" s="960">
        <v>311.063</v>
      </c>
      <c r="G44" s="960">
        <v>314.882</v>
      </c>
      <c r="H44" s="960">
        <v>323.387</v>
      </c>
      <c r="I44" s="960">
        <v>335.779</v>
      </c>
      <c r="J44" s="960">
        <v>349.504</v>
      </c>
      <c r="K44" s="960">
        <v>358.128</v>
      </c>
      <c r="L44" s="960">
        <v>377.01200000000006</v>
      </c>
      <c r="M44" s="960">
        <v>390.829</v>
      </c>
      <c r="N44" s="960">
        <v>403.039</v>
      </c>
      <c r="O44" s="960">
        <v>414.34</v>
      </c>
      <c r="P44" s="960">
        <v>426.977</v>
      </c>
      <c r="Q44" s="960">
        <v>431.028</v>
      </c>
      <c r="R44" s="960">
        <v>438.28200000000004</v>
      </c>
      <c r="S44" s="960">
        <v>449.801</v>
      </c>
      <c r="T44" s="960">
        <f>302.956+82.778+79.705</f>
        <v>465.439</v>
      </c>
      <c r="U44" s="960">
        <f>331.052+73.904+83.609</f>
        <v>488.565</v>
      </c>
      <c r="V44" s="960">
        <f>361.911+84.742+67.02</f>
        <v>513.673</v>
      </c>
      <c r="W44" s="960">
        <f>379.343+84.35+59.657</f>
        <v>523.35</v>
      </c>
      <c r="X44" s="960">
        <f>387.546+53.911+82.694</f>
        <v>524.151</v>
      </c>
      <c r="Y44" s="960">
        <f>397.279+48.432+81.33</f>
        <v>527.041</v>
      </c>
      <c r="Z44" s="960">
        <f>410.73+43.371+80.16</f>
        <v>534.261</v>
      </c>
      <c r="AA44" s="960">
        <v>542.528</v>
      </c>
      <c r="AB44" s="960">
        <f>434.636+79.437+34.232</f>
        <v>548.305</v>
      </c>
      <c r="AC44" s="967">
        <f t="shared" si="2"/>
        <v>1.0648298336675595</v>
      </c>
      <c r="AD44" s="102" t="s">
        <v>152</v>
      </c>
    </row>
    <row r="45" spans="1:30" ht="12.75" customHeight="1">
      <c r="A45" s="114"/>
      <c r="B45" s="294" t="s">
        <v>153</v>
      </c>
      <c r="C45" s="970">
        <v>106.997</v>
      </c>
      <c r="D45" s="971">
        <v>169.402</v>
      </c>
      <c r="E45" s="971">
        <v>252.136</v>
      </c>
      <c r="F45" s="971">
        <v>257.646</v>
      </c>
      <c r="G45" s="971">
        <v>256.611</v>
      </c>
      <c r="H45" s="971">
        <v>253.461</v>
      </c>
      <c r="I45" s="971">
        <v>256.285</v>
      </c>
      <c r="J45" s="971">
        <v>262.352</v>
      </c>
      <c r="K45" s="971">
        <v>263.02</v>
      </c>
      <c r="L45" s="971">
        <v>264.2</v>
      </c>
      <c r="M45" s="971">
        <v>267.38</v>
      </c>
      <c r="N45" s="971">
        <v>273.954</v>
      </c>
      <c r="O45" s="971">
        <v>278.518</v>
      </c>
      <c r="P45" s="971">
        <v>285.246</v>
      </c>
      <c r="Q45" s="971">
        <v>290.142</v>
      </c>
      <c r="R45" s="971">
        <v>292.329</v>
      </c>
      <c r="S45" s="971">
        <v>298.193</v>
      </c>
      <c r="T45" s="971">
        <v>307.161</v>
      </c>
      <c r="U45" s="971">
        <v>314.04</v>
      </c>
      <c r="V45" s="971">
        <v>324.153</v>
      </c>
      <c r="W45" s="971">
        <v>326.232</v>
      </c>
      <c r="X45" s="971">
        <f>327.808</f>
        <v>327.808</v>
      </c>
      <c r="Y45" s="971">
        <v>335.2</v>
      </c>
      <c r="Z45" s="971">
        <v>348.553</v>
      </c>
      <c r="AA45" s="971">
        <v>361.926</v>
      </c>
      <c r="AB45" s="971">
        <v>371.361</v>
      </c>
      <c r="AC45" s="969">
        <f t="shared" si="2"/>
        <v>2.606886490608588</v>
      </c>
      <c r="AD45" s="294" t="s">
        <v>153</v>
      </c>
    </row>
    <row r="46" spans="1:30" ht="12.75" customHeight="1">
      <c r="A46" s="114"/>
      <c r="B46" s="103" t="s">
        <v>217</v>
      </c>
      <c r="C46" s="983"/>
      <c r="D46" s="984"/>
      <c r="E46" s="984"/>
      <c r="F46" s="984"/>
      <c r="G46" s="984"/>
      <c r="H46" s="984"/>
      <c r="I46" s="984"/>
      <c r="J46" s="984"/>
      <c r="K46" s="984"/>
      <c r="L46" s="984"/>
      <c r="M46" s="984"/>
      <c r="N46" s="984">
        <v>2.884</v>
      </c>
      <c r="O46" s="984">
        <v>2.46</v>
      </c>
      <c r="P46" s="984">
        <v>2.6</v>
      </c>
      <c r="Q46" s="984">
        <v>2.665</v>
      </c>
      <c r="R46" s="984">
        <v>2.56</v>
      </c>
      <c r="S46" s="984">
        <v>2.591</v>
      </c>
      <c r="T46" s="984">
        <v>2.579</v>
      </c>
      <c r="U46" s="984">
        <v>2.525</v>
      </c>
      <c r="V46" s="984">
        <v>2.566</v>
      </c>
      <c r="W46" s="984">
        <v>2.696</v>
      </c>
      <c r="X46" s="984">
        <f>2.712</f>
        <v>2.712</v>
      </c>
      <c r="Y46" s="984">
        <v>2.791</v>
      </c>
      <c r="Z46" s="984">
        <v>2.89</v>
      </c>
      <c r="AA46" s="984">
        <v>3.022</v>
      </c>
      <c r="AB46" s="984">
        <v>3.086</v>
      </c>
      <c r="AC46" s="985">
        <f t="shared" si="2"/>
        <v>2.117802779616156</v>
      </c>
      <c r="AD46" s="103" t="s">
        <v>217</v>
      </c>
    </row>
    <row r="47" spans="2:30" ht="30" customHeight="1">
      <c r="B47" s="1105" t="s">
        <v>273</v>
      </c>
      <c r="C47" s="1105"/>
      <c r="D47" s="1105"/>
      <c r="E47" s="1105"/>
      <c r="F47" s="1105"/>
      <c r="G47" s="1105"/>
      <c r="H47" s="1105"/>
      <c r="I47" s="1105"/>
      <c r="J47" s="1105"/>
      <c r="K47" s="1105"/>
      <c r="L47" s="1105"/>
      <c r="M47" s="1105"/>
      <c r="N47" s="1105"/>
      <c r="O47" s="1105"/>
      <c r="P47" s="1105"/>
      <c r="Q47" s="1105"/>
      <c r="R47" s="1105"/>
      <c r="S47" s="1105"/>
      <c r="T47" s="1105"/>
      <c r="U47" s="1125"/>
      <c r="V47" s="1125"/>
      <c r="W47" s="1125"/>
      <c r="X47" s="1125"/>
      <c r="Y47" s="1125"/>
      <c r="Z47" s="1125"/>
      <c r="AA47" s="1125"/>
      <c r="AB47" s="1125"/>
      <c r="AC47" s="1125"/>
      <c r="AD47" s="1125"/>
    </row>
    <row r="48" spans="2:30" ht="12.75" customHeight="1">
      <c r="B48" s="1122" t="s">
        <v>274</v>
      </c>
      <c r="C48" s="1119"/>
      <c r="D48" s="1119"/>
      <c r="E48" s="1119"/>
      <c r="F48" s="1119"/>
      <c r="G48" s="1119"/>
      <c r="H48" s="1119"/>
      <c r="I48" s="1119"/>
      <c r="J48" s="1119"/>
      <c r="K48" s="1119"/>
      <c r="L48" s="1119"/>
      <c r="M48" s="1119"/>
      <c r="N48" s="1119"/>
      <c r="O48" s="1119"/>
      <c r="P48" s="1119"/>
      <c r="Q48" s="1119"/>
      <c r="R48" s="1119"/>
      <c r="S48" s="1119"/>
      <c r="T48" s="1119"/>
      <c r="U48" s="1119"/>
      <c r="V48" s="1119"/>
      <c r="W48" s="1119"/>
      <c r="X48" s="1119"/>
      <c r="Y48" s="1119"/>
      <c r="Z48" s="1119"/>
      <c r="AA48" s="1119"/>
      <c r="AB48" s="1119"/>
      <c r="AC48" s="1119"/>
      <c r="AD48" s="1119"/>
    </row>
    <row r="49" spans="2:30" ht="12.75" customHeight="1">
      <c r="B49" s="1123" t="s">
        <v>275</v>
      </c>
      <c r="C49" s="1123"/>
      <c r="D49" s="1123"/>
      <c r="E49" s="1123"/>
      <c r="F49" s="1123"/>
      <c r="G49" s="1123"/>
      <c r="H49" s="1123"/>
      <c r="I49" s="1123"/>
      <c r="J49" s="1123"/>
      <c r="K49" s="1123"/>
      <c r="L49" s="1123"/>
      <c r="M49" s="1123"/>
      <c r="N49" s="1123"/>
      <c r="O49" s="1123"/>
      <c r="P49" s="1123"/>
      <c r="Q49" s="1123"/>
      <c r="R49" s="1123"/>
      <c r="S49" s="1123"/>
      <c r="T49" s="1123"/>
      <c r="U49" s="1123"/>
      <c r="V49" s="1123"/>
      <c r="W49" s="1123"/>
      <c r="X49" s="1123"/>
      <c r="Y49" s="1123"/>
      <c r="Z49" s="1123"/>
      <c r="AA49" s="1123"/>
      <c r="AB49" s="1123"/>
      <c r="AC49" s="1123"/>
      <c r="AD49" s="1123"/>
    </row>
    <row r="50" spans="2:30" ht="12" customHeight="1">
      <c r="B50" s="1123" t="s">
        <v>276</v>
      </c>
      <c r="C50" s="1123"/>
      <c r="D50" s="1123"/>
      <c r="E50" s="1123"/>
      <c r="F50" s="1123"/>
      <c r="G50" s="1123"/>
      <c r="H50" s="1123"/>
      <c r="I50" s="1123"/>
      <c r="J50" s="1123"/>
      <c r="K50" s="1123"/>
      <c r="L50" s="1123"/>
      <c r="M50" s="1123"/>
      <c r="N50" s="1123"/>
      <c r="O50" s="1123"/>
      <c r="P50" s="1123"/>
      <c r="Q50" s="1123"/>
      <c r="R50" s="1123"/>
      <c r="S50" s="1123"/>
      <c r="T50" s="1123"/>
      <c r="U50" s="1123"/>
      <c r="V50" s="1123"/>
      <c r="W50" s="1123"/>
      <c r="X50" s="1123"/>
      <c r="Y50" s="1123"/>
      <c r="Z50" s="1123"/>
      <c r="AA50" s="1123"/>
      <c r="AB50" s="1123"/>
      <c r="AC50" s="1123"/>
      <c r="AD50" s="1123"/>
    </row>
    <row r="51" spans="2:28" ht="11.25">
      <c r="B51" s="96" t="s">
        <v>277</v>
      </c>
      <c r="U51" s="223"/>
      <c r="V51" s="223"/>
      <c r="W51" s="223"/>
      <c r="X51" s="223"/>
      <c r="Y51" s="223"/>
      <c r="Z51" s="223"/>
      <c r="AA51" s="223"/>
      <c r="AB51" s="223"/>
    </row>
    <row r="52" spans="10:28" ht="11.25">
      <c r="J52" s="223"/>
      <c r="K52" s="223"/>
      <c r="L52" s="223"/>
      <c r="M52" s="223"/>
      <c r="N52" s="223"/>
      <c r="O52" s="223"/>
      <c r="P52" s="223"/>
      <c r="Q52" s="223"/>
      <c r="R52" s="223"/>
      <c r="S52" s="223"/>
      <c r="T52" s="223"/>
      <c r="U52" s="223"/>
      <c r="V52" s="223"/>
      <c r="W52" s="223"/>
      <c r="X52" s="223"/>
      <c r="Y52" s="223"/>
      <c r="Z52" s="223"/>
      <c r="AA52" s="223"/>
      <c r="AB52" s="223"/>
    </row>
    <row r="53" spans="5:24" ht="11.25">
      <c r="E53" s="989"/>
      <c r="X53" s="223"/>
    </row>
  </sheetData>
  <sheetProtection/>
  <mergeCells count="7">
    <mergeCell ref="B48:AD48"/>
    <mergeCell ref="B49:AD49"/>
    <mergeCell ref="B50:AD50"/>
    <mergeCell ref="B1:C1"/>
    <mergeCell ref="B2:AD2"/>
    <mergeCell ref="B3:AD3"/>
    <mergeCell ref="B47:AD4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A1:W98"/>
  <sheetViews>
    <sheetView zoomScalePageLayoutView="0" workbookViewId="0" topLeftCell="A1">
      <selection activeCell="A1" sqref="A1"/>
    </sheetView>
  </sheetViews>
  <sheetFormatPr defaultColWidth="9.140625" defaultRowHeight="12.75"/>
  <cols>
    <col min="1" max="1" width="3.7109375" style="0" customWidth="1"/>
    <col min="2" max="2" width="4.00390625" style="0" customWidth="1"/>
    <col min="3" max="3" width="7.28125" style="318" customWidth="1"/>
    <col min="4" max="7" width="7.28125" style="318" hidden="1" customWidth="1"/>
    <col min="8" max="13" width="7.28125" style="0" customWidth="1"/>
    <col min="14" max="21" width="7.7109375" style="0" customWidth="1"/>
    <col min="22" max="22" width="6.7109375" style="0" customWidth="1"/>
    <col min="23" max="23" width="7.57421875" style="0" customWidth="1"/>
  </cols>
  <sheetData>
    <row r="1" spans="2:23" ht="14.25" customHeight="1">
      <c r="B1" s="253"/>
      <c r="C1" s="529"/>
      <c r="D1" s="529"/>
      <c r="E1" s="529"/>
      <c r="F1" s="529"/>
      <c r="G1" s="529"/>
      <c r="H1" s="95"/>
      <c r="I1" s="95"/>
      <c r="W1" s="97" t="s">
        <v>223</v>
      </c>
    </row>
    <row r="2" spans="2:23" s="229" customFormat="1" ht="30" customHeight="1">
      <c r="B2" s="1080" t="s">
        <v>224</v>
      </c>
      <c r="C2" s="1080"/>
      <c r="D2" s="1080"/>
      <c r="E2" s="1080"/>
      <c r="F2" s="1080"/>
      <c r="G2" s="1080"/>
      <c r="H2" s="1080"/>
      <c r="I2" s="1080"/>
      <c r="J2" s="1080"/>
      <c r="K2" s="1080"/>
      <c r="L2" s="1080"/>
      <c r="M2" s="1080"/>
      <c r="N2" s="1080"/>
      <c r="O2" s="1080"/>
      <c r="P2" s="1080"/>
      <c r="Q2" s="1080"/>
      <c r="R2" s="1080"/>
      <c r="S2" s="1080"/>
      <c r="T2" s="1080"/>
      <c r="U2" s="1080"/>
      <c r="V2" s="1080"/>
      <c r="W2" s="1080"/>
    </row>
    <row r="3" spans="2:23" ht="15" customHeight="1">
      <c r="B3" s="1081" t="s">
        <v>215</v>
      </c>
      <c r="C3" s="1081"/>
      <c r="D3" s="1081"/>
      <c r="E3" s="1081"/>
      <c r="F3" s="1081"/>
      <c r="G3" s="1081"/>
      <c r="H3" s="1081"/>
      <c r="I3" s="1081"/>
      <c r="J3" s="1081"/>
      <c r="K3" s="1081"/>
      <c r="L3" s="1081"/>
      <c r="M3" s="1081"/>
      <c r="N3" s="1081"/>
      <c r="O3" s="1081"/>
      <c r="P3" s="1081"/>
      <c r="Q3" s="1081"/>
      <c r="R3" s="1081"/>
      <c r="S3" s="1081"/>
      <c r="T3" s="1081"/>
      <c r="U3" s="1081"/>
      <c r="V3" s="1081"/>
      <c r="W3" s="1081"/>
    </row>
    <row r="4" spans="2:23" ht="12.75" customHeight="1">
      <c r="B4" s="123"/>
      <c r="C4" s="123"/>
      <c r="D4" s="123"/>
      <c r="E4" s="123"/>
      <c r="F4" s="123"/>
      <c r="G4" s="123"/>
      <c r="H4" s="255"/>
      <c r="P4" s="340"/>
      <c r="Q4" s="340" t="s">
        <v>216</v>
      </c>
      <c r="R4" s="198"/>
      <c r="S4" s="198"/>
      <c r="T4" s="198"/>
      <c r="U4" s="198"/>
      <c r="W4" s="198"/>
    </row>
    <row r="5" spans="2:23" ht="19.5" customHeight="1">
      <c r="B5" s="123"/>
      <c r="C5" s="100">
        <v>1995</v>
      </c>
      <c r="D5" s="101">
        <v>1996</v>
      </c>
      <c r="E5" s="101">
        <v>1997</v>
      </c>
      <c r="F5" s="101">
        <v>1998</v>
      </c>
      <c r="G5" s="101">
        <v>1999</v>
      </c>
      <c r="H5" s="101">
        <v>2000</v>
      </c>
      <c r="I5" s="101">
        <v>2001</v>
      </c>
      <c r="J5" s="101">
        <v>2002</v>
      </c>
      <c r="K5" s="101">
        <v>2003</v>
      </c>
      <c r="L5" s="101">
        <v>2004</v>
      </c>
      <c r="M5" s="101">
        <v>2005</v>
      </c>
      <c r="N5" s="101">
        <v>2006</v>
      </c>
      <c r="O5" s="101">
        <v>2007</v>
      </c>
      <c r="P5" s="101">
        <v>2008</v>
      </c>
      <c r="Q5" s="101">
        <v>2009</v>
      </c>
      <c r="R5" s="101">
        <v>2010</v>
      </c>
      <c r="S5" s="101">
        <v>2011</v>
      </c>
      <c r="T5" s="101">
        <v>2012</v>
      </c>
      <c r="U5" s="101">
        <v>2013</v>
      </c>
      <c r="V5" s="122" t="s">
        <v>314</v>
      </c>
      <c r="W5" s="224"/>
    </row>
    <row r="6" spans="2:23" ht="9.75" customHeight="1">
      <c r="B6" s="123"/>
      <c r="C6" s="125"/>
      <c r="D6" s="127"/>
      <c r="E6" s="127"/>
      <c r="F6" s="127"/>
      <c r="G6" s="127"/>
      <c r="H6" s="127"/>
      <c r="I6" s="127"/>
      <c r="J6" s="127"/>
      <c r="K6" s="127"/>
      <c r="L6" s="127"/>
      <c r="M6" s="127"/>
      <c r="N6" s="127"/>
      <c r="O6" s="127"/>
      <c r="P6" s="127"/>
      <c r="Q6" s="127"/>
      <c r="R6" s="127"/>
      <c r="S6" s="127"/>
      <c r="T6" s="127"/>
      <c r="U6" s="127"/>
      <c r="V6" s="201" t="s">
        <v>147</v>
      </c>
      <c r="W6" s="224"/>
    </row>
    <row r="7" spans="2:23" ht="12.75" customHeight="1">
      <c r="B7" s="129" t="s">
        <v>260</v>
      </c>
      <c r="C7" s="990"/>
      <c r="D7" s="991"/>
      <c r="E7" s="991"/>
      <c r="F7" s="991"/>
      <c r="G7" s="991"/>
      <c r="H7" s="942">
        <f aca="true" t="shared" si="0" ref="H7:M7">SUM(H10:H37)</f>
        <v>23389.220999999994</v>
      </c>
      <c r="I7" s="942">
        <f t="shared" si="0"/>
        <v>26129.616000000005</v>
      </c>
      <c r="J7" s="942">
        <f t="shared" si="0"/>
        <v>27147.53900000001</v>
      </c>
      <c r="K7" s="942">
        <f t="shared" si="0"/>
        <v>28044.076999999994</v>
      </c>
      <c r="L7" s="942">
        <f t="shared" si="0"/>
        <v>28563.183000000005</v>
      </c>
      <c r="M7" s="942">
        <f t="shared" si="0"/>
        <v>29831.85</v>
      </c>
      <c r="N7" s="942">
        <f aca="true" t="shared" si="1" ref="N7:U7">SUM(N10:N37)</f>
        <v>30867.71899999999</v>
      </c>
      <c r="O7" s="942">
        <f t="shared" si="1"/>
        <v>32954.909999999996</v>
      </c>
      <c r="P7" s="942">
        <f t="shared" si="1"/>
        <v>34171.73499999999</v>
      </c>
      <c r="Q7" s="942">
        <f t="shared" si="1"/>
        <v>34223.315</v>
      </c>
      <c r="R7" s="942">
        <f t="shared" si="1"/>
        <v>34395.2691</v>
      </c>
      <c r="S7" s="942">
        <f t="shared" si="1"/>
        <v>34919.056000000004</v>
      </c>
      <c r="T7" s="942">
        <f t="shared" si="1"/>
        <v>34497.905999999995</v>
      </c>
      <c r="U7" s="587">
        <f t="shared" si="1"/>
        <v>34581.1462</v>
      </c>
      <c r="V7" s="347">
        <f>U7/T7*100-100</f>
        <v>0.24129058731855935</v>
      </c>
      <c r="W7" s="129" t="s">
        <v>260</v>
      </c>
    </row>
    <row r="8" spans="1:23" ht="12.75" customHeight="1">
      <c r="A8" s="96"/>
      <c r="B8" s="133" t="s">
        <v>89</v>
      </c>
      <c r="C8" s="992"/>
      <c r="D8" s="591"/>
      <c r="E8" s="591"/>
      <c r="F8" s="591"/>
      <c r="G8" s="591"/>
      <c r="H8" s="591">
        <f aca="true" t="shared" si="2" ref="H8:R8">H10+H13+H14+H17+H18+H19+H16+H21+H25+H28+H29+H31+H35+H36+H37</f>
        <v>20805.457</v>
      </c>
      <c r="I8" s="591">
        <f t="shared" si="2"/>
        <v>23530.213</v>
      </c>
      <c r="J8" s="591">
        <f t="shared" si="2"/>
        <v>24366.145000000008</v>
      </c>
      <c r="K8" s="591">
        <f t="shared" si="2"/>
        <v>25275.67</v>
      </c>
      <c r="L8" s="591">
        <f t="shared" si="2"/>
        <v>26163.246000000003</v>
      </c>
      <c r="M8" s="591">
        <f t="shared" si="2"/>
        <v>27127.553999999996</v>
      </c>
      <c r="N8" s="591">
        <f t="shared" si="2"/>
        <v>28072.128999999997</v>
      </c>
      <c r="O8" s="591">
        <f t="shared" si="2"/>
        <v>30014.730000000003</v>
      </c>
      <c r="P8" s="591">
        <f t="shared" si="2"/>
        <v>30843.061999999998</v>
      </c>
      <c r="Q8" s="591">
        <f t="shared" si="2"/>
        <v>30664.346</v>
      </c>
      <c r="R8" s="591">
        <f t="shared" si="2"/>
        <v>30687.584000000003</v>
      </c>
      <c r="S8" s="591">
        <f>S10+S13+S14+S17+S18+S19+S16+S21+S25+S28+S29+S31+S35+S36+S37</f>
        <v>30995.031999999996</v>
      </c>
      <c r="T8" s="591">
        <f>T10+T13+T14+T17+T18+T19+T16+T21+T25+T28+T29+T31+T35+T36+T37</f>
        <v>30411.110000000004</v>
      </c>
      <c r="U8" s="590">
        <f>U10+U13+U14+U17+U18+U19+U16+U21+U25+U28+U29+U31+U35+U36+U37</f>
        <v>30351.490199999997</v>
      </c>
      <c r="V8" s="348">
        <f aca="true" t="shared" si="3" ref="V8:V46">U8/T8*100-100</f>
        <v>-0.19604611604117395</v>
      </c>
      <c r="W8" s="133" t="s">
        <v>89</v>
      </c>
    </row>
    <row r="9" spans="1:23" ht="12.75" customHeight="1">
      <c r="A9" s="96"/>
      <c r="B9" s="134" t="s">
        <v>261</v>
      </c>
      <c r="C9" s="993"/>
      <c r="D9" s="994"/>
      <c r="E9" s="994"/>
      <c r="F9" s="994"/>
      <c r="G9" s="994"/>
      <c r="H9" s="994">
        <f aca="true" t="shared" si="4" ref="H9:R9">H7-H8</f>
        <v>2583.7639999999956</v>
      </c>
      <c r="I9" s="994">
        <f t="shared" si="4"/>
        <v>2599.4030000000057</v>
      </c>
      <c r="J9" s="994">
        <f t="shared" si="4"/>
        <v>2781.394000000004</v>
      </c>
      <c r="K9" s="994">
        <f t="shared" si="4"/>
        <v>2768.4069999999956</v>
      </c>
      <c r="L9" s="994">
        <f t="shared" si="4"/>
        <v>2399.9370000000017</v>
      </c>
      <c r="M9" s="994">
        <f t="shared" si="4"/>
        <v>2704.296000000002</v>
      </c>
      <c r="N9" s="994">
        <f>N7-N8</f>
        <v>2795.589999999993</v>
      </c>
      <c r="O9" s="994">
        <f>O7-O8</f>
        <v>2940.179999999993</v>
      </c>
      <c r="P9" s="994">
        <f>P7-P8</f>
        <v>3328.672999999995</v>
      </c>
      <c r="Q9" s="994">
        <f t="shared" si="4"/>
        <v>3558.969000000001</v>
      </c>
      <c r="R9" s="994">
        <f t="shared" si="4"/>
        <v>3707.685099999995</v>
      </c>
      <c r="S9" s="994">
        <f>S7-S8</f>
        <v>3924.0240000000085</v>
      </c>
      <c r="T9" s="994">
        <f>T7-T8</f>
        <v>4086.795999999991</v>
      </c>
      <c r="U9" s="994">
        <f>U7-U8</f>
        <v>4229.656000000006</v>
      </c>
      <c r="V9" s="349">
        <f t="shared" si="3"/>
        <v>3.495647935449071</v>
      </c>
      <c r="W9" s="134" t="s">
        <v>261</v>
      </c>
    </row>
    <row r="10" spans="1:23" ht="12.75" customHeight="1">
      <c r="A10" s="114"/>
      <c r="B10" s="104" t="s">
        <v>60</v>
      </c>
      <c r="C10" s="982"/>
      <c r="D10" s="951">
        <v>212.432</v>
      </c>
      <c r="E10" s="951">
        <v>225.317</v>
      </c>
      <c r="F10" s="951">
        <v>241.11</v>
      </c>
      <c r="G10" s="951">
        <v>260.567</v>
      </c>
      <c r="H10" s="951">
        <v>277.838</v>
      </c>
      <c r="I10" s="951">
        <v>293.63</v>
      </c>
      <c r="J10" s="951">
        <v>305.51</v>
      </c>
      <c r="K10" s="951">
        <v>319.48</v>
      </c>
      <c r="L10" s="951">
        <v>322.762</v>
      </c>
      <c r="M10" s="951">
        <v>346.293</v>
      </c>
      <c r="N10" s="951">
        <v>359.764</v>
      </c>
      <c r="O10" s="952">
        <v>369.43</v>
      </c>
      <c r="P10" s="951">
        <v>382.318</v>
      </c>
      <c r="Q10" s="951">
        <v>398.612</v>
      </c>
      <c r="R10" s="951">
        <v>413.003</v>
      </c>
      <c r="S10" s="951">
        <v>424.174</v>
      </c>
      <c r="T10" s="951">
        <v>438.582</v>
      </c>
      <c r="U10" s="951">
        <v>444.736</v>
      </c>
      <c r="V10" s="526">
        <f t="shared" si="3"/>
        <v>1.4031583603522364</v>
      </c>
      <c r="W10" s="277" t="s">
        <v>60</v>
      </c>
    </row>
    <row r="11" spans="1:23" ht="12.75" customHeight="1">
      <c r="A11" s="114"/>
      <c r="B11" s="133" t="s">
        <v>101</v>
      </c>
      <c r="C11" s="954">
        <v>519.3</v>
      </c>
      <c r="D11" s="955">
        <v>521.7</v>
      </c>
      <c r="E11" s="955">
        <v>525</v>
      </c>
      <c r="F11" s="955">
        <v>515.7</v>
      </c>
      <c r="G11" s="955">
        <v>519.2</v>
      </c>
      <c r="H11" s="955">
        <v>520.5</v>
      </c>
      <c r="I11" s="955">
        <v>524.1</v>
      </c>
      <c r="J11" s="955">
        <v>528.3</v>
      </c>
      <c r="K11" s="956">
        <v>533.7</v>
      </c>
      <c r="L11" s="955">
        <v>137.7</v>
      </c>
      <c r="M11" s="956">
        <v>146.5</v>
      </c>
      <c r="N11" s="955">
        <v>76.254</v>
      </c>
      <c r="O11" s="955">
        <v>90.318</v>
      </c>
      <c r="P11" s="955">
        <v>106.911</v>
      </c>
      <c r="Q11" s="955">
        <f>117.595</f>
        <v>117.595</v>
      </c>
      <c r="R11" s="955">
        <v>125.4</v>
      </c>
      <c r="S11" s="955">
        <v>131.8</v>
      </c>
      <c r="T11" s="955">
        <v>139.8</v>
      </c>
      <c r="U11" s="955">
        <v>147.9</v>
      </c>
      <c r="V11" s="210">
        <f t="shared" si="3"/>
        <v>5.793991416309012</v>
      </c>
      <c r="W11" s="233" t="s">
        <v>101</v>
      </c>
    </row>
    <row r="12" spans="1:23" ht="12.75" customHeight="1">
      <c r="A12" s="114"/>
      <c r="B12" s="102" t="s">
        <v>61</v>
      </c>
      <c r="C12" s="963">
        <v>915.229</v>
      </c>
      <c r="D12" s="960">
        <v>918.159</v>
      </c>
      <c r="E12" s="960">
        <v>929.627</v>
      </c>
      <c r="F12" s="964">
        <v>927.08</v>
      </c>
      <c r="G12" s="960">
        <v>799.647</v>
      </c>
      <c r="H12" s="960">
        <v>748.14</v>
      </c>
      <c r="I12" s="960">
        <v>755.482</v>
      </c>
      <c r="J12" s="960">
        <v>760.219</v>
      </c>
      <c r="K12" s="960">
        <v>751.634</v>
      </c>
      <c r="L12" s="960">
        <v>756.559</v>
      </c>
      <c r="M12" s="960">
        <v>794</v>
      </c>
      <c r="N12" s="960">
        <v>822.703</v>
      </c>
      <c r="O12" s="960">
        <v>860.131</v>
      </c>
      <c r="P12" s="960">
        <v>892.796</v>
      </c>
      <c r="Q12" s="960">
        <v>903.346</v>
      </c>
      <c r="R12" s="960">
        <v>924.291</v>
      </c>
      <c r="S12" s="960">
        <v>944.171</v>
      </c>
      <c r="T12" s="960">
        <v>976.911</v>
      </c>
      <c r="U12" s="960">
        <v>977.167</v>
      </c>
      <c r="V12" s="216">
        <f t="shared" si="3"/>
        <v>0.026205048361632066</v>
      </c>
      <c r="W12" s="269" t="s">
        <v>61</v>
      </c>
    </row>
    <row r="13" spans="1:23" ht="12.75" customHeight="1">
      <c r="A13" s="114"/>
      <c r="B13" s="133" t="s">
        <v>14</v>
      </c>
      <c r="C13" s="954">
        <v>58.014</v>
      </c>
      <c r="D13" s="955">
        <v>73.85</v>
      </c>
      <c r="E13" s="955">
        <v>93.875</v>
      </c>
      <c r="F13" s="955">
        <v>112.12</v>
      </c>
      <c r="G13" s="955">
        <v>126.938</v>
      </c>
      <c r="H13" s="955">
        <v>138.31</v>
      </c>
      <c r="I13" s="955">
        <v>146.365</v>
      </c>
      <c r="J13" s="955">
        <v>151.322</v>
      </c>
      <c r="K13" s="955">
        <v>155.74</v>
      </c>
      <c r="L13" s="955">
        <v>162.128</v>
      </c>
      <c r="M13" s="956">
        <f>105.264+66.653</f>
        <v>171.917</v>
      </c>
      <c r="N13" s="955">
        <f>118.752+65.284</f>
        <v>184.036</v>
      </c>
      <c r="O13" s="955">
        <f>133.914+63.263</f>
        <v>197.177</v>
      </c>
      <c r="P13" s="955">
        <v>204.76999999999998</v>
      </c>
      <c r="Q13" s="955">
        <f>147.373+57.866</f>
        <v>205.23899999999998</v>
      </c>
      <c r="R13" s="955">
        <f>148.766+54.842</f>
        <v>203.608</v>
      </c>
      <c r="S13" s="955">
        <v>200.597</v>
      </c>
      <c r="T13" s="955">
        <v>199.243</v>
      </c>
      <c r="U13" s="955">
        <v>198.076</v>
      </c>
      <c r="V13" s="210">
        <f t="shared" si="3"/>
        <v>-0.5857169386126486</v>
      </c>
      <c r="W13" s="233" t="s">
        <v>14</v>
      </c>
    </row>
    <row r="14" spans="1:23" ht="12.75" customHeight="1">
      <c r="A14" s="114"/>
      <c r="B14" s="102" t="s">
        <v>63</v>
      </c>
      <c r="C14" s="963">
        <f>1728.057+2267.428</f>
        <v>3995.4849999999997</v>
      </c>
      <c r="D14" s="964">
        <f>1666.995+2470.451</f>
        <v>4137.446</v>
      </c>
      <c r="E14" s="960">
        <f>1634.083+2096.673</f>
        <v>3730.756</v>
      </c>
      <c r="F14" s="960">
        <f>1747.139+2427.207</f>
        <v>4174.346</v>
      </c>
      <c r="G14" s="960">
        <f>1742.704+2646.497</f>
        <v>4389.201</v>
      </c>
      <c r="H14" s="960">
        <f>1594.749+2843.333</f>
        <v>4438.082</v>
      </c>
      <c r="I14" s="960">
        <f>1682.523+2984.626</f>
        <v>4667.149</v>
      </c>
      <c r="J14" s="960">
        <f>1583.917+3093.968</f>
        <v>4677.885</v>
      </c>
      <c r="K14" s="960">
        <f>1662.765+3201.042</f>
        <v>4863.807</v>
      </c>
      <c r="L14" s="960">
        <f>1785.62+3292.362</f>
        <v>5077.982</v>
      </c>
      <c r="M14" s="960">
        <f>1818.629+3384.272</f>
        <v>5202.901</v>
      </c>
      <c r="N14" s="960">
        <f>1930.185+3475.715</f>
        <v>5405.9</v>
      </c>
      <c r="O14" s="960">
        <f>1983.845+3566.122</f>
        <v>5549.967</v>
      </c>
      <c r="P14" s="960">
        <v>5852.283</v>
      </c>
      <c r="Q14" s="960">
        <f>3762.561+2104.204</f>
        <v>5866.765</v>
      </c>
      <c r="R14" s="960">
        <f>2042.996+3827.894</f>
        <v>5870.889999999999</v>
      </c>
      <c r="S14" s="960">
        <f>2096.161+3908.072</f>
        <v>6004.233</v>
      </c>
      <c r="T14" s="960">
        <f>2088.623+3982.978</f>
        <v>6071.601000000001</v>
      </c>
      <c r="U14" s="960">
        <f>4054.946+1976.214</f>
        <v>6031.16</v>
      </c>
      <c r="V14" s="216">
        <f t="shared" si="3"/>
        <v>-0.6660681424882995</v>
      </c>
      <c r="W14" s="269" t="s">
        <v>63</v>
      </c>
    </row>
    <row r="15" spans="1:23" ht="12.75" customHeight="1">
      <c r="A15" s="114"/>
      <c r="B15" s="133" t="s">
        <v>64</v>
      </c>
      <c r="C15" s="954">
        <v>3.3</v>
      </c>
      <c r="D15" s="955">
        <v>4.7</v>
      </c>
      <c r="E15" s="955">
        <v>5.3</v>
      </c>
      <c r="F15" s="955">
        <v>6.1</v>
      </c>
      <c r="G15" s="955">
        <v>6.7</v>
      </c>
      <c r="H15" s="955">
        <v>6.7</v>
      </c>
      <c r="I15" s="955">
        <v>6.8</v>
      </c>
      <c r="J15" s="955">
        <v>7.3</v>
      </c>
      <c r="K15" s="955">
        <v>8.1</v>
      </c>
      <c r="L15" s="955">
        <v>9.1</v>
      </c>
      <c r="M15" s="955">
        <v>10.234</v>
      </c>
      <c r="N15" s="955">
        <v>12.594</v>
      </c>
      <c r="O15" s="955">
        <v>14.78</v>
      </c>
      <c r="P15" s="955">
        <v>17.622</v>
      </c>
      <c r="Q15" s="955">
        <f>18.6</f>
        <v>18.6</v>
      </c>
      <c r="R15" s="955">
        <v>19.7</v>
      </c>
      <c r="S15" s="968">
        <v>23.217</v>
      </c>
      <c r="T15" s="955">
        <v>35.273</v>
      </c>
      <c r="U15" s="995">
        <f>24.8+13.9</f>
        <v>38.7</v>
      </c>
      <c r="V15" s="210">
        <f t="shared" si="3"/>
        <v>9.715646528506227</v>
      </c>
      <c r="W15" s="233" t="s">
        <v>64</v>
      </c>
    </row>
    <row r="16" spans="1:23" ht="12.75" customHeight="1">
      <c r="A16" s="114"/>
      <c r="B16" s="102" t="s">
        <v>68</v>
      </c>
      <c r="C16" s="963">
        <v>23.452</v>
      </c>
      <c r="D16" s="960">
        <v>23.847</v>
      </c>
      <c r="E16" s="960">
        <v>24.424</v>
      </c>
      <c r="F16" s="960">
        <v>24.398</v>
      </c>
      <c r="G16" s="960">
        <v>26.677</v>
      </c>
      <c r="H16" s="960">
        <v>30.638</v>
      </c>
      <c r="I16" s="960">
        <v>32.913</v>
      </c>
      <c r="J16" s="960">
        <v>33.147</v>
      </c>
      <c r="K16" s="960">
        <v>35.094</v>
      </c>
      <c r="L16" s="960">
        <v>34.854</v>
      </c>
      <c r="M16" s="960">
        <v>34.3</v>
      </c>
      <c r="N16" s="960">
        <v>34.927</v>
      </c>
      <c r="O16" s="960">
        <v>37.178</v>
      </c>
      <c r="P16" s="960">
        <v>39.409</v>
      </c>
      <c r="Q16" s="960">
        <v>39.552</v>
      </c>
      <c r="R16" s="960">
        <f>38.145</f>
        <v>38.145</v>
      </c>
      <c r="S16" s="960">
        <v>36.582</v>
      </c>
      <c r="T16" s="960">
        <v>35.106</v>
      </c>
      <c r="U16" s="960">
        <v>36.623</v>
      </c>
      <c r="V16" s="216">
        <f t="shared" si="3"/>
        <v>4.321198655500467</v>
      </c>
      <c r="W16" s="269" t="s">
        <v>68</v>
      </c>
    </row>
    <row r="17" spans="1:23" ht="12.75" customHeight="1">
      <c r="A17" s="114"/>
      <c r="B17" s="133" t="s">
        <v>15</v>
      </c>
      <c r="C17" s="954"/>
      <c r="D17" s="955"/>
      <c r="E17" s="955"/>
      <c r="F17" s="955"/>
      <c r="G17" s="955"/>
      <c r="H17" s="955">
        <v>781.361</v>
      </c>
      <c r="I17" s="955">
        <v>853.366</v>
      </c>
      <c r="J17" s="955">
        <v>910.555</v>
      </c>
      <c r="K17" s="955">
        <v>969.895</v>
      </c>
      <c r="L17" s="955">
        <v>1042.605</v>
      </c>
      <c r="M17" s="955">
        <v>1124.172</v>
      </c>
      <c r="N17" s="955">
        <v>1205.816</v>
      </c>
      <c r="O17" s="955">
        <v>1298.688</v>
      </c>
      <c r="P17" s="955">
        <v>1388.607</v>
      </c>
      <c r="Q17" s="955">
        <v>1448.851</v>
      </c>
      <c r="R17" s="955">
        <v>1499.133</v>
      </c>
      <c r="S17" s="955">
        <v>1534.902</v>
      </c>
      <c r="T17" s="955">
        <v>1556.435</v>
      </c>
      <c r="U17" s="955">
        <f>1568.596</f>
        <v>1568.596</v>
      </c>
      <c r="V17" s="210">
        <f t="shared" si="3"/>
        <v>0.7813368370667604</v>
      </c>
      <c r="W17" s="233" t="s">
        <v>15</v>
      </c>
    </row>
    <row r="18" spans="1:23" ht="12.75" customHeight="1">
      <c r="A18" s="114"/>
      <c r="B18" s="102" t="s">
        <v>66</v>
      </c>
      <c r="C18" s="963">
        <v>1301.18</v>
      </c>
      <c r="D18" s="960">
        <v>1308.208</v>
      </c>
      <c r="E18" s="960">
        <v>1326.333</v>
      </c>
      <c r="F18" s="960">
        <v>1361.155</v>
      </c>
      <c r="G18" s="960">
        <v>1403.771</v>
      </c>
      <c r="H18" s="964">
        <v>1445.644</v>
      </c>
      <c r="I18" s="960">
        <f>1483.442+1806.758</f>
        <v>3290.2</v>
      </c>
      <c r="J18" s="960">
        <f>1517.208+2044.242</f>
        <v>3561.45</v>
      </c>
      <c r="K18" s="960">
        <f>1513.526+2143.593</f>
        <v>3657.1189999999997</v>
      </c>
      <c r="L18" s="960">
        <f>1612.082+2242.046</f>
        <v>3854.1279999999997</v>
      </c>
      <c r="M18" s="960">
        <f>1805.827+2311.773</f>
        <v>4117.6</v>
      </c>
      <c r="N18" s="960">
        <f>2058.022+2343.124</f>
        <v>4401.146</v>
      </c>
      <c r="O18" s="960">
        <f>2311.346+2430.414</f>
        <v>4741.76</v>
      </c>
      <c r="P18" s="960">
        <f>2500.819+2410.685</f>
        <v>4911.504</v>
      </c>
      <c r="Q18" s="960">
        <f>2352.205+2606.674</f>
        <v>4958.879</v>
      </c>
      <c r="R18" s="960">
        <f>2290.207+2707.482</f>
        <v>4997.689</v>
      </c>
      <c r="S18" s="960">
        <f>2229.418+2798.043</f>
        <v>5027.461</v>
      </c>
      <c r="T18" s="960">
        <f>2852.297+2169.668</f>
        <v>5021.965</v>
      </c>
      <c r="U18" s="960">
        <f>2107.116+2891.204</f>
        <v>4998.32</v>
      </c>
      <c r="V18" s="216">
        <f t="shared" si="3"/>
        <v>-0.4708316366203462</v>
      </c>
      <c r="W18" s="269" t="s">
        <v>66</v>
      </c>
    </row>
    <row r="19" spans="1:23" ht="12.75" customHeight="1">
      <c r="A19" s="114"/>
      <c r="B19" s="133" t="s">
        <v>67</v>
      </c>
      <c r="C19" s="954">
        <f>1562+727</f>
        <v>2289</v>
      </c>
      <c r="D19" s="955">
        <f>1540+738</f>
        <v>2278</v>
      </c>
      <c r="E19" s="955">
        <f>1518+780</f>
        <v>2298</v>
      </c>
      <c r="F19" s="955">
        <f>1482+839</f>
        <v>2321</v>
      </c>
      <c r="G19" s="955">
        <f>1461+912</f>
        <v>2373</v>
      </c>
      <c r="H19" s="955">
        <f>1442+968</f>
        <v>2410</v>
      </c>
      <c r="I19" s="955">
        <f>1421+1019</f>
        <v>2440</v>
      </c>
      <c r="J19" s="955">
        <f>1387+1054</f>
        <v>2441</v>
      </c>
      <c r="K19" s="955">
        <f>1357+1091</f>
        <v>2448</v>
      </c>
      <c r="L19" s="955">
        <f>1331+1131</f>
        <v>2462</v>
      </c>
      <c r="M19" s="955">
        <f>1297.698+1177.608</f>
        <v>2475.306</v>
      </c>
      <c r="N19" s="955">
        <f>1295.316+1248.245</f>
        <v>2543.5609999999997</v>
      </c>
      <c r="O19" s="968">
        <f>1939+1801</f>
        <v>3740</v>
      </c>
      <c r="P19" s="955">
        <v>3857</v>
      </c>
      <c r="Q19" s="955">
        <f>1748+1784</f>
        <v>3532</v>
      </c>
      <c r="R19" s="955">
        <f>1713+1847.951</f>
        <v>3560.951</v>
      </c>
      <c r="S19" s="955">
        <f>1591.636+1847.781</f>
        <v>3439.417</v>
      </c>
      <c r="T19" s="955">
        <v>3089.125</v>
      </c>
      <c r="U19" s="977">
        <f>2894283.2/1000</f>
        <v>2894.2832000000003</v>
      </c>
      <c r="V19" s="205">
        <f t="shared" si="3"/>
        <v>-6.307345931291209</v>
      </c>
      <c r="W19" s="233" t="s">
        <v>67</v>
      </c>
    </row>
    <row r="20" spans="1:23" ht="12.75" customHeight="1">
      <c r="A20" s="114"/>
      <c r="B20" s="102" t="s">
        <v>148</v>
      </c>
      <c r="C20" s="960">
        <v>9.933</v>
      </c>
      <c r="D20" s="960">
        <v>14.128</v>
      </c>
      <c r="E20" s="960">
        <v>17.401</v>
      </c>
      <c r="F20" s="960">
        <v>18.957</v>
      </c>
      <c r="G20" s="960">
        <v>20.499</v>
      </c>
      <c r="H20" s="960">
        <v>21.868</v>
      </c>
      <c r="I20" s="964">
        <v>24.305</v>
      </c>
      <c r="J20" s="960">
        <v>85.217</v>
      </c>
      <c r="K20" s="960">
        <v>99.137</v>
      </c>
      <c r="L20" s="960">
        <v>112.907</v>
      </c>
      <c r="M20" s="960">
        <v>128.382</v>
      </c>
      <c r="N20" s="960">
        <v>143.486</v>
      </c>
      <c r="O20" s="960">
        <f>56.401+106.343</f>
        <v>162.744</v>
      </c>
      <c r="P20" s="960">
        <v>183.814</v>
      </c>
      <c r="Q20" s="960">
        <f>63.691+120.792</f>
        <v>184.483</v>
      </c>
      <c r="R20" s="960">
        <f>62.21+114.563</f>
        <v>176.773</v>
      </c>
      <c r="S20" s="960">
        <f>112.166+62.876</f>
        <v>175.042</v>
      </c>
      <c r="T20" s="960">
        <v>156.981</v>
      </c>
      <c r="U20" s="960">
        <v>154.782</v>
      </c>
      <c r="V20" s="216">
        <f t="shared" si="3"/>
        <v>-1.4008064670246654</v>
      </c>
      <c r="W20" s="269" t="s">
        <v>148</v>
      </c>
    </row>
    <row r="21" spans="1:23" ht="12.75" customHeight="1">
      <c r="A21" s="114"/>
      <c r="B21" s="294" t="s">
        <v>69</v>
      </c>
      <c r="C21" s="970">
        <f>2530.75+3697.545</f>
        <v>6228.295</v>
      </c>
      <c r="D21" s="971">
        <f>2572.926+3818.309</f>
        <v>6391.235000000001</v>
      </c>
      <c r="E21" s="971">
        <f>2597.857+3831.657</f>
        <v>6429.514</v>
      </c>
      <c r="F21" s="971">
        <f>2723.002+4100.321</f>
        <v>6823.323</v>
      </c>
      <c r="G21" s="971">
        <f>2975.651+4431.146</f>
        <v>7406.797</v>
      </c>
      <c r="H21" s="971">
        <f>3375.782+4451.124</f>
        <v>7826.906</v>
      </c>
      <c r="I21" s="971">
        <f>3732.306+4495.813</f>
        <v>8228.119</v>
      </c>
      <c r="J21" s="971">
        <f>4037.48+4540.906</f>
        <v>8578.386</v>
      </c>
      <c r="K21" s="971">
        <f>4375.947+4586.452</f>
        <v>8962.399000000001</v>
      </c>
      <c r="L21" s="971">
        <f>4632.399+4574.644</f>
        <v>9207.043000000001</v>
      </c>
      <c r="M21" s="971">
        <f>4360+4938.359</f>
        <v>9298.359</v>
      </c>
      <c r="N21" s="971">
        <f>4050+5288.818</f>
        <v>9338.818</v>
      </c>
      <c r="O21" s="971">
        <f>3690+5590.259</f>
        <v>9280.259</v>
      </c>
      <c r="P21" s="971">
        <v>9180.094000000001</v>
      </c>
      <c r="Q21" s="971">
        <f>6118.098+2900</f>
        <v>9018.098</v>
      </c>
      <c r="R21" s="971">
        <f>6305.032+2550</f>
        <v>8855.032</v>
      </c>
      <c r="S21" s="971">
        <f>6428.476+2550</f>
        <v>8978.475999999999</v>
      </c>
      <c r="T21" s="971">
        <f>6428.796+2153.454</f>
        <v>8582.25</v>
      </c>
      <c r="U21" s="971">
        <f>6481.77+2256.078</f>
        <v>8737.848</v>
      </c>
      <c r="V21" s="481">
        <f t="shared" si="3"/>
        <v>1.813021060910586</v>
      </c>
      <c r="W21" s="505" t="s">
        <v>69</v>
      </c>
    </row>
    <row r="22" spans="1:23" ht="12.75" customHeight="1">
      <c r="A22" s="114"/>
      <c r="B22" s="102" t="s">
        <v>71</v>
      </c>
      <c r="C22" s="963">
        <v>50.393</v>
      </c>
      <c r="D22" s="960"/>
      <c r="E22" s="960"/>
      <c r="F22" s="960">
        <v>44.337</v>
      </c>
      <c r="G22" s="960">
        <v>44.756</v>
      </c>
      <c r="H22" s="960">
        <v>43.315</v>
      </c>
      <c r="I22" s="960">
        <v>41.985</v>
      </c>
      <c r="J22" s="960">
        <v>40.276</v>
      </c>
      <c r="K22" s="960">
        <v>41.516</v>
      </c>
      <c r="L22" s="960">
        <v>41.396</v>
      </c>
      <c r="M22" s="960">
        <v>40.381</v>
      </c>
      <c r="N22" s="960">
        <v>40.359</v>
      </c>
      <c r="O22" s="960">
        <v>41.211</v>
      </c>
      <c r="P22" s="960">
        <v>43.219</v>
      </c>
      <c r="Q22" s="960">
        <f>23.473+19.217</f>
        <v>42.69</v>
      </c>
      <c r="R22" s="960">
        <f>23.677+17.05</f>
        <v>40.727000000000004</v>
      </c>
      <c r="S22" s="960">
        <f>23.864+15.939</f>
        <v>39.803</v>
      </c>
      <c r="T22" s="960">
        <f>25.293+15.812</f>
        <v>41.105</v>
      </c>
      <c r="U22" s="960">
        <f>14.745+25.224</f>
        <v>39.969</v>
      </c>
      <c r="V22" s="216">
        <f t="shared" si="3"/>
        <v>-2.7636540566840893</v>
      </c>
      <c r="W22" s="269" t="s">
        <v>71</v>
      </c>
    </row>
    <row r="23" spans="1:23" ht="12.75" customHeight="1">
      <c r="A23" s="114"/>
      <c r="B23" s="294" t="s">
        <v>72</v>
      </c>
      <c r="C23" s="970">
        <v>15.792</v>
      </c>
      <c r="D23" s="971">
        <v>18.444</v>
      </c>
      <c r="E23" s="971">
        <v>19.267</v>
      </c>
      <c r="F23" s="971">
        <v>19.409</v>
      </c>
      <c r="G23" s="971">
        <v>20.057</v>
      </c>
      <c r="H23" s="976">
        <v>20.732</v>
      </c>
      <c r="I23" s="971">
        <v>21.37</v>
      </c>
      <c r="J23" s="971">
        <v>22.16</v>
      </c>
      <c r="K23" s="976">
        <v>22.88</v>
      </c>
      <c r="L23" s="971">
        <f>23.982+5.943</f>
        <v>29.924999999999997</v>
      </c>
      <c r="M23" s="971">
        <f>25.193+7.284</f>
        <v>32.477000000000004</v>
      </c>
      <c r="N23" s="971">
        <f>27.21+9.664</f>
        <v>36.874</v>
      </c>
      <c r="O23" s="971">
        <f>30.87+13.542</f>
        <v>44.412</v>
      </c>
      <c r="P23" s="971">
        <v>51.284000000000006</v>
      </c>
      <c r="Q23" s="971">
        <f>18.373+33.59</f>
        <v>51.96300000000001</v>
      </c>
      <c r="R23" s="972">
        <f>19.486+17.188</f>
        <v>36.674</v>
      </c>
      <c r="S23" s="971">
        <f>21.238+17.385</f>
        <v>38.623000000000005</v>
      </c>
      <c r="T23" s="971">
        <v>41.088</v>
      </c>
      <c r="U23" s="971">
        <v>43.588</v>
      </c>
      <c r="V23" s="481">
        <f t="shared" si="3"/>
        <v>6.084501557632407</v>
      </c>
      <c r="W23" s="505" t="s">
        <v>72</v>
      </c>
    </row>
    <row r="24" spans="1:23" ht="12.75" customHeight="1">
      <c r="A24" s="114"/>
      <c r="B24" s="102" t="s">
        <v>73</v>
      </c>
      <c r="C24" s="963">
        <v>20.033</v>
      </c>
      <c r="D24" s="960">
        <v>19.402</v>
      </c>
      <c r="E24" s="960">
        <v>19.128</v>
      </c>
      <c r="F24" s="960">
        <v>19.266</v>
      </c>
      <c r="G24" s="960">
        <v>19.515</v>
      </c>
      <c r="H24" s="960">
        <v>19.842</v>
      </c>
      <c r="I24" s="960">
        <v>20.244</v>
      </c>
      <c r="J24" s="960">
        <v>21.017</v>
      </c>
      <c r="K24" s="960">
        <v>21.873</v>
      </c>
      <c r="L24" s="960">
        <v>22.861</v>
      </c>
      <c r="M24" s="960">
        <v>24.027</v>
      </c>
      <c r="N24" s="964">
        <v>25.478</v>
      </c>
      <c r="O24" s="965">
        <f>28.826+6.444</f>
        <v>35.27</v>
      </c>
      <c r="P24" s="960">
        <v>45.617000000000004</v>
      </c>
      <c r="Q24" s="960">
        <f>14.81+36.562</f>
        <v>51.372</v>
      </c>
      <c r="R24" s="960">
        <f>38.995+17.276</f>
        <v>56.271</v>
      </c>
      <c r="S24" s="960">
        <f>41.349+18.775</f>
        <v>60.123999999999995</v>
      </c>
      <c r="T24" s="960">
        <v>64.249</v>
      </c>
      <c r="U24" s="960">
        <f>22.169+45.983</f>
        <v>68.152</v>
      </c>
      <c r="V24" s="216">
        <f t="shared" si="3"/>
        <v>6.07480272066492</v>
      </c>
      <c r="W24" s="269" t="s">
        <v>73</v>
      </c>
    </row>
    <row r="25" spans="1:23" ht="12.75" customHeight="1">
      <c r="A25" s="114"/>
      <c r="B25" s="294" t="s">
        <v>76</v>
      </c>
      <c r="C25" s="996">
        <f>8.405+20</f>
        <v>28.405</v>
      </c>
      <c r="D25" s="971">
        <f>8.716+20.185</f>
        <v>28.900999999999996</v>
      </c>
      <c r="E25" s="971">
        <f>9.297+20.377</f>
        <v>29.674</v>
      </c>
      <c r="F25" s="971">
        <f>9.947+20.641</f>
        <v>30.587999999999997</v>
      </c>
      <c r="G25" s="971">
        <f>10.819+20.943</f>
        <v>31.762</v>
      </c>
      <c r="H25" s="971">
        <f>11.488+21.286</f>
        <v>32.774</v>
      </c>
      <c r="I25" s="971">
        <f>11.961+21.615</f>
        <v>33.576</v>
      </c>
      <c r="J25" s="971">
        <f>12.671+22.03</f>
        <v>34.701</v>
      </c>
      <c r="K25" s="971">
        <f>13.38+22.579</f>
        <v>35.959</v>
      </c>
      <c r="L25" s="971">
        <f>13.901+23.008</f>
        <v>36.909</v>
      </c>
      <c r="M25" s="971">
        <f>23.471+14.268</f>
        <v>37.739000000000004</v>
      </c>
      <c r="N25" s="971">
        <f>24.029+14.609</f>
        <v>38.638</v>
      </c>
      <c r="O25" s="971">
        <f>24.532+14.947</f>
        <v>39.479</v>
      </c>
      <c r="P25" s="971">
        <v>40.285</v>
      </c>
      <c r="Q25" s="971">
        <f>25.7+15.551</f>
        <v>41.251</v>
      </c>
      <c r="R25" s="971">
        <f>26.34+15.753</f>
        <v>42.093</v>
      </c>
      <c r="S25" s="971">
        <f>27.11+16.225</f>
        <v>43.335</v>
      </c>
      <c r="T25" s="971">
        <v>44.526</v>
      </c>
      <c r="U25" s="997">
        <f>8.527+17.226</f>
        <v>25.753</v>
      </c>
      <c r="V25" s="481">
        <f t="shared" si="3"/>
        <v>-42.161882944796304</v>
      </c>
      <c r="W25" s="505" t="s">
        <v>76</v>
      </c>
    </row>
    <row r="26" spans="1:23" ht="12.75" customHeight="1">
      <c r="A26" s="114"/>
      <c r="B26" s="102" t="s">
        <v>77</v>
      </c>
      <c r="C26" s="963"/>
      <c r="D26" s="960"/>
      <c r="E26" s="960"/>
      <c r="F26" s="960"/>
      <c r="G26" s="960">
        <v>87.573</v>
      </c>
      <c r="H26" s="960">
        <v>91.193</v>
      </c>
      <c r="I26" s="960">
        <v>93.088</v>
      </c>
      <c r="J26" s="960">
        <v>97.593</v>
      </c>
      <c r="K26" s="960">
        <v>103.493</v>
      </c>
      <c r="L26" s="960">
        <v>114.038</v>
      </c>
      <c r="M26" s="960">
        <v>122.705</v>
      </c>
      <c r="N26" s="960">
        <v>130.188</v>
      </c>
      <c r="O26" s="960">
        <v>135.865</v>
      </c>
      <c r="P26" s="960">
        <v>141.54</v>
      </c>
      <c r="Q26" s="960">
        <f>141.956</f>
        <v>141.956</v>
      </c>
      <c r="R26" s="960">
        <v>142.251</v>
      </c>
      <c r="S26" s="960">
        <f>147.382</f>
        <v>147.382</v>
      </c>
      <c r="T26" s="960">
        <f>151.405</f>
        <v>151.405</v>
      </c>
      <c r="U26" s="960">
        <f>157.178</f>
        <v>157.178</v>
      </c>
      <c r="V26" s="216">
        <f t="shared" si="3"/>
        <v>3.812952016115716</v>
      </c>
      <c r="W26" s="269" t="s">
        <v>77</v>
      </c>
    </row>
    <row r="27" spans="1:23" ht="12.75" customHeight="1">
      <c r="A27" s="114"/>
      <c r="B27" s="294" t="s">
        <v>78</v>
      </c>
      <c r="C27" s="970">
        <v>17.411</v>
      </c>
      <c r="D27" s="971">
        <v>11.663</v>
      </c>
      <c r="E27" s="971">
        <v>13.881</v>
      </c>
      <c r="F27" s="971">
        <v>14.847</v>
      </c>
      <c r="G27" s="971">
        <v>11.87</v>
      </c>
      <c r="H27" s="971">
        <v>12.402</v>
      </c>
      <c r="I27" s="971">
        <v>12.83</v>
      </c>
      <c r="J27" s="971">
        <v>13.324</v>
      </c>
      <c r="K27" s="971">
        <v>13.667</v>
      </c>
      <c r="L27" s="971">
        <f>12.639+0.143</f>
        <v>12.782</v>
      </c>
      <c r="M27" s="971">
        <f>11.905+0.088</f>
        <v>11.992999999999999</v>
      </c>
      <c r="N27" s="971">
        <f>12.192+0.094</f>
        <v>12.286</v>
      </c>
      <c r="O27" s="971">
        <v>12.791</v>
      </c>
      <c r="P27" s="971">
        <v>14.413000000000002</v>
      </c>
      <c r="Q27" s="971">
        <f>14.301+0.005+0.074</f>
        <v>14.38</v>
      </c>
      <c r="R27" s="972">
        <f>14.635+0.067+0.0141</f>
        <v>14.716099999999999</v>
      </c>
      <c r="S27" s="971">
        <f>15.314+0.068+0.181</f>
        <v>15.562999999999999</v>
      </c>
      <c r="T27" s="971">
        <f>15.568+0.062+0.185</f>
        <v>15.815</v>
      </c>
      <c r="U27" s="971">
        <f>16.62+0.231+0.05</f>
        <v>16.901000000000003</v>
      </c>
      <c r="V27" s="481">
        <f t="shared" si="3"/>
        <v>6.866898514068936</v>
      </c>
      <c r="W27" s="505" t="s">
        <v>78</v>
      </c>
    </row>
    <row r="28" spans="1:23" ht="12.75" customHeight="1">
      <c r="A28" s="114"/>
      <c r="B28" s="102" t="s">
        <v>16</v>
      </c>
      <c r="C28" s="963">
        <f>307.993+547</f>
        <v>854.9929999999999</v>
      </c>
      <c r="D28" s="960">
        <f>335+553</f>
        <v>888</v>
      </c>
      <c r="E28" s="960">
        <f>373+543</f>
        <v>916</v>
      </c>
      <c r="F28" s="960">
        <f>451.425+546</f>
        <v>997.425</v>
      </c>
      <c r="G28" s="960">
        <f>413.989+520</f>
        <v>933.989</v>
      </c>
      <c r="H28" s="960">
        <f>437.798+533</f>
        <v>970.798</v>
      </c>
      <c r="I28" s="960">
        <f>460.822+504</f>
        <v>964.822</v>
      </c>
      <c r="J28" s="960">
        <f>494.45+508</f>
        <v>1002.45</v>
      </c>
      <c r="K28" s="960">
        <f>516.567+499</f>
        <v>1015.567</v>
      </c>
      <c r="L28" s="960">
        <f>536.934+502</f>
        <v>1038.934</v>
      </c>
      <c r="M28" s="960">
        <f>552.949+560</f>
        <v>1112.949</v>
      </c>
      <c r="N28" s="960">
        <f>567.911+711.792</f>
        <v>1279.703</v>
      </c>
      <c r="O28" s="960">
        <f>585.204+786.409</f>
        <v>1371.6129999999998</v>
      </c>
      <c r="P28" s="960">
        <v>1479.476</v>
      </c>
      <c r="Q28" s="960">
        <f>623.442+951.452</f>
        <v>1574.894</v>
      </c>
      <c r="R28" s="960">
        <f>636.199+1023.582</f>
        <v>1659.781</v>
      </c>
      <c r="S28" s="960">
        <f>1057.1+646.995</f>
        <v>1704.0949999999998</v>
      </c>
      <c r="T28" s="960">
        <f>1080.514+653.245</f>
        <v>1733.759</v>
      </c>
      <c r="U28" s="960">
        <f>653.991+1097.18</f>
        <v>1751.171</v>
      </c>
      <c r="V28" s="216">
        <f t="shared" si="3"/>
        <v>1.0042918306408097</v>
      </c>
      <c r="W28" s="269" t="s">
        <v>16</v>
      </c>
    </row>
    <row r="29" spans="1:23" ht="12.75" customHeight="1">
      <c r="A29" s="114"/>
      <c r="B29" s="294" t="s">
        <v>81</v>
      </c>
      <c r="C29" s="970">
        <f>371.505+174.907</f>
        <v>546.412</v>
      </c>
      <c r="D29" s="971">
        <f>366.506+193.685</f>
        <v>560.191</v>
      </c>
      <c r="E29" s="971">
        <f>362.953+212.767</f>
        <v>575.72</v>
      </c>
      <c r="F29" s="971">
        <f>362.964+237.767</f>
        <v>600.731</v>
      </c>
      <c r="G29" s="971">
        <f>359.63+263.297</f>
        <v>622.927</v>
      </c>
      <c r="H29" s="971">
        <f>352.984+279.728</f>
        <v>632.712</v>
      </c>
      <c r="I29" s="976">
        <f>346.591+294.843</f>
        <v>641.434</v>
      </c>
      <c r="J29" s="971">
        <f>304.255+292.569</f>
        <v>596.8240000000001</v>
      </c>
      <c r="K29" s="971">
        <f>301.387+305.481</f>
        <v>606.8679999999999</v>
      </c>
      <c r="L29" s="971">
        <f>296.522+315.638</f>
        <v>612.16</v>
      </c>
      <c r="M29" s="971">
        <f>301.425+326.286</f>
        <v>627.711</v>
      </c>
      <c r="N29" s="971">
        <f>306.592+338.721</f>
        <v>645.313</v>
      </c>
      <c r="O29" s="971">
        <f>312.658+354.919</f>
        <v>667.577</v>
      </c>
      <c r="P29" s="971">
        <v>691.2429999999999</v>
      </c>
      <c r="Q29" s="971">
        <f>218.135+158.745+305.042+1.234+12.694+16.242</f>
        <v>712.092</v>
      </c>
      <c r="R29" s="971">
        <f>224.717+168.089+303.908+1.247+14.016+15.875</f>
        <v>727.852</v>
      </c>
      <c r="S29" s="971">
        <f>301.65+1.31+179.279+230.396+14.106+1.298+0.578+14.812</f>
        <v>743.429</v>
      </c>
      <c r="T29" s="971">
        <f>299.586+1.458+192.577+236.807+15.522+1.441+0.623+14.378</f>
        <v>762.3920000000002</v>
      </c>
      <c r="U29" s="971">
        <f>743.648+16.572+1.582+0.674+13.861</f>
        <v>776.337</v>
      </c>
      <c r="V29" s="481">
        <f t="shared" si="3"/>
        <v>1.8291115331745118</v>
      </c>
      <c r="W29" s="505" t="s">
        <v>81</v>
      </c>
    </row>
    <row r="30" spans="1:23" ht="12.75" customHeight="1">
      <c r="A30" s="114"/>
      <c r="B30" s="102" t="s">
        <v>80</v>
      </c>
      <c r="C30" s="963">
        <v>929</v>
      </c>
      <c r="D30" s="960"/>
      <c r="E30" s="960"/>
      <c r="F30" s="960">
        <v>820</v>
      </c>
      <c r="G30" s="960">
        <v>804</v>
      </c>
      <c r="H30" s="964">
        <v>803</v>
      </c>
      <c r="I30" s="960">
        <v>803</v>
      </c>
      <c r="J30" s="960">
        <v>869</v>
      </c>
      <c r="K30" s="960">
        <v>845.456</v>
      </c>
      <c r="L30" s="964">
        <v>835.79</v>
      </c>
      <c r="M30" s="960">
        <f>753.648+337.511</f>
        <v>1091.159</v>
      </c>
      <c r="N30" s="960">
        <f>784.176+405.917</f>
        <v>1190.093</v>
      </c>
      <c r="O30" s="960">
        <f>825.305+525.484</f>
        <v>1350.789</v>
      </c>
      <c r="P30" s="960">
        <v>1607.316</v>
      </c>
      <c r="Q30" s="960">
        <f>974.906+833.817</f>
        <v>1808.723</v>
      </c>
      <c r="R30" s="960">
        <f>1013.014+922.126</f>
        <v>1935.1399999999999</v>
      </c>
      <c r="S30" s="960">
        <f>1069.195+1032.98</f>
        <v>2102.175</v>
      </c>
      <c r="T30" s="960">
        <v>2207.556</v>
      </c>
      <c r="U30" s="960">
        <f>1153.169+1163.441</f>
        <v>2316.61</v>
      </c>
      <c r="V30" s="216">
        <f t="shared" si="3"/>
        <v>4.940033231320058</v>
      </c>
      <c r="W30" s="269" t="s">
        <v>80</v>
      </c>
    </row>
    <row r="31" spans="1:23" ht="12.75" customHeight="1">
      <c r="A31" s="114"/>
      <c r="B31" s="294" t="s">
        <v>92</v>
      </c>
      <c r="C31" s="970">
        <v>216.296</v>
      </c>
      <c r="D31" s="971">
        <v>240.946</v>
      </c>
      <c r="E31" s="971">
        <v>271.708</v>
      </c>
      <c r="F31" s="971">
        <v>301.045</v>
      </c>
      <c r="G31" s="971">
        <v>323.854</v>
      </c>
      <c r="H31" s="971">
        <v>345.903</v>
      </c>
      <c r="I31" s="971">
        <v>368.063</v>
      </c>
      <c r="J31" s="971">
        <v>386.969</v>
      </c>
      <c r="K31" s="971">
        <v>402.759</v>
      </c>
      <c r="L31" s="976">
        <v>418.704</v>
      </c>
      <c r="M31" s="971">
        <v>588.42</v>
      </c>
      <c r="N31" s="971">
        <f>401+157.72</f>
        <v>558.72</v>
      </c>
      <c r="O31" s="971">
        <f>377+159.645</f>
        <v>536.645</v>
      </c>
      <c r="P31" s="971">
        <v>535</v>
      </c>
      <c r="Q31" s="971">
        <f>199.27+334</f>
        <v>533.27</v>
      </c>
      <c r="R31" s="971">
        <f>292+206</f>
        <v>498</v>
      </c>
      <c r="S31" s="971">
        <f>287+210</f>
        <v>497</v>
      </c>
      <c r="T31" s="971">
        <f>280+212.5</f>
        <v>492.5</v>
      </c>
      <c r="U31" s="971">
        <f>272.5+212.5</f>
        <v>485</v>
      </c>
      <c r="V31" s="481">
        <f t="shared" si="3"/>
        <v>-1.522842639593918</v>
      </c>
      <c r="W31" s="505" t="s">
        <v>92</v>
      </c>
    </row>
    <row r="32" spans="1:23" ht="12.75" customHeight="1">
      <c r="A32" s="114"/>
      <c r="B32" s="102" t="s">
        <v>102</v>
      </c>
      <c r="C32" s="963">
        <f>205.032+122.692</f>
        <v>327.724</v>
      </c>
      <c r="D32" s="960">
        <f>160.073+94.923</f>
        <v>254.996</v>
      </c>
      <c r="E32" s="960">
        <f>153.768+96.742</f>
        <v>250.51</v>
      </c>
      <c r="F32" s="960">
        <f>146.725+98.994</f>
        <v>245.719</v>
      </c>
      <c r="G32" s="960">
        <f>141.49+101.093</f>
        <v>242.58300000000003</v>
      </c>
      <c r="H32" s="960">
        <f>137.103+102.105</f>
        <v>239.20800000000003</v>
      </c>
      <c r="I32" s="960">
        <f>134.152+103.749</f>
        <v>237.90099999999998</v>
      </c>
      <c r="J32" s="960">
        <f>132.955+105.525</f>
        <v>238.48000000000002</v>
      </c>
      <c r="K32" s="960">
        <f>132.88+102.97</f>
        <v>235.85</v>
      </c>
      <c r="L32" s="960">
        <f>130.193+104.509</f>
        <v>234.702</v>
      </c>
      <c r="M32" s="960">
        <f>103.556+93.845</f>
        <v>197.401</v>
      </c>
      <c r="N32" s="964">
        <f>101.474+92.507</f>
        <v>193.981</v>
      </c>
      <c r="O32" s="965">
        <f>29.403+27.076</f>
        <v>56.479</v>
      </c>
      <c r="P32" s="960">
        <v>71.827</v>
      </c>
      <c r="Q32" s="960">
        <f>79.99</f>
        <v>79.99</v>
      </c>
      <c r="R32" s="960">
        <f>85.171</f>
        <v>85.171</v>
      </c>
      <c r="S32" s="960">
        <v>90.082</v>
      </c>
      <c r="T32" s="960">
        <v>95.45</v>
      </c>
      <c r="U32" s="960">
        <v>101.622</v>
      </c>
      <c r="V32" s="216">
        <f t="shared" si="3"/>
        <v>6.466212676794129</v>
      </c>
      <c r="W32" s="269" t="s">
        <v>102</v>
      </c>
    </row>
    <row r="33" spans="1:23" ht="12.75" customHeight="1">
      <c r="A33" s="114"/>
      <c r="B33" s="294" t="s">
        <v>83</v>
      </c>
      <c r="C33" s="970">
        <v>8.546</v>
      </c>
      <c r="D33" s="971">
        <v>8.173</v>
      </c>
      <c r="E33" s="971">
        <v>8.283</v>
      </c>
      <c r="F33" s="971">
        <v>9.14</v>
      </c>
      <c r="G33" s="971">
        <v>9.906</v>
      </c>
      <c r="H33" s="976">
        <v>11.217</v>
      </c>
      <c r="I33" s="976">
        <v>11.622</v>
      </c>
      <c r="J33" s="971">
        <f>11.93+38.678</f>
        <v>50.608</v>
      </c>
      <c r="K33" s="971">
        <f>12.048+30.344</f>
        <v>42.392</v>
      </c>
      <c r="L33" s="971">
        <f>11.574+28.626</f>
        <v>40.2</v>
      </c>
      <c r="M33" s="971">
        <f>14.473+34.198</f>
        <v>48.671</v>
      </c>
      <c r="N33" s="971">
        <f>18.801+34.392</f>
        <v>53.193</v>
      </c>
      <c r="O33" s="971">
        <f>34.162+37.331</f>
        <v>71.493</v>
      </c>
      <c r="P33" s="971">
        <v>81.99600000000001</v>
      </c>
      <c r="Q33" s="971">
        <f>46.185+42.243</f>
        <v>88.428</v>
      </c>
      <c r="R33" s="971">
        <f>48.686+42.322</f>
        <v>91.00800000000001</v>
      </c>
      <c r="S33" s="971">
        <f>49.887+42.296</f>
        <v>92.18299999999999</v>
      </c>
      <c r="T33" s="971">
        <v>93.1</v>
      </c>
      <c r="U33" s="971">
        <f>41.05+51.936</f>
        <v>92.98599999999999</v>
      </c>
      <c r="V33" s="481">
        <f t="shared" si="3"/>
        <v>-0.12244897959183731</v>
      </c>
      <c r="W33" s="505" t="s">
        <v>83</v>
      </c>
    </row>
    <row r="34" spans="1:23" ht="12.75" customHeight="1">
      <c r="A34" s="114"/>
      <c r="B34" s="102" t="s">
        <v>85</v>
      </c>
      <c r="C34" s="963">
        <v>81.847</v>
      </c>
      <c r="D34" s="960">
        <v>79.479</v>
      </c>
      <c r="E34" s="960">
        <v>81.062</v>
      </c>
      <c r="F34" s="964">
        <v>100.891</v>
      </c>
      <c r="G34" s="960">
        <v>44.215</v>
      </c>
      <c r="H34" s="960">
        <v>45.647</v>
      </c>
      <c r="I34" s="960">
        <v>46.676</v>
      </c>
      <c r="J34" s="960">
        <v>47.9</v>
      </c>
      <c r="K34" s="960">
        <v>48.709</v>
      </c>
      <c r="L34" s="960">
        <v>51.977</v>
      </c>
      <c r="M34" s="960">
        <v>56.366</v>
      </c>
      <c r="N34" s="960">
        <v>58.101</v>
      </c>
      <c r="O34" s="960">
        <v>63.897</v>
      </c>
      <c r="P34" s="960">
        <v>70.318</v>
      </c>
      <c r="Q34" s="960">
        <v>55.443</v>
      </c>
      <c r="R34" s="960">
        <f>59.563</f>
        <v>59.563</v>
      </c>
      <c r="S34" s="960">
        <f>63.859</f>
        <v>63.859</v>
      </c>
      <c r="T34" s="960">
        <v>68.063</v>
      </c>
      <c r="U34" s="960">
        <f>74.101</f>
        <v>74.101</v>
      </c>
      <c r="V34" s="216">
        <f t="shared" si="3"/>
        <v>8.8711928654335</v>
      </c>
      <c r="W34" s="269" t="s">
        <v>85</v>
      </c>
    </row>
    <row r="35" spans="1:23" ht="12.75" customHeight="1">
      <c r="A35" s="114"/>
      <c r="B35" s="294" t="s">
        <v>87</v>
      </c>
      <c r="C35" s="970">
        <f>65.095+94.43</f>
        <v>159.525</v>
      </c>
      <c r="D35" s="971">
        <f>66.468+96.32</f>
        <v>162.788</v>
      </c>
      <c r="E35" s="971">
        <f>68.552+98.062</f>
        <v>166.614</v>
      </c>
      <c r="F35" s="971">
        <f>72.704+100.621</f>
        <v>173.325</v>
      </c>
      <c r="G35" s="971">
        <f>80.178+103.01</f>
        <v>183.188</v>
      </c>
      <c r="H35" s="971">
        <f>90.877+102.545</f>
        <v>193.422</v>
      </c>
      <c r="I35" s="971">
        <f>102.811+103.424</f>
        <v>206.235</v>
      </c>
      <c r="J35" s="971">
        <f>116.021+107.556</f>
        <v>223.577</v>
      </c>
      <c r="K35" s="971">
        <f>129.67+115.712</f>
        <v>245.382</v>
      </c>
      <c r="L35" s="971">
        <f>142.703+129.017</f>
        <v>271.72</v>
      </c>
      <c r="M35" s="971">
        <f>156.487+145.318</f>
        <v>301.805</v>
      </c>
      <c r="N35" s="971">
        <f>172.283+166.16</f>
        <v>338.443</v>
      </c>
      <c r="O35" s="971">
        <f>188.144+188.388</f>
        <v>376.53200000000004</v>
      </c>
      <c r="P35" s="971">
        <v>421.544</v>
      </c>
      <c r="Q35" s="971">
        <f>216.443+239.754</f>
        <v>456.197</v>
      </c>
      <c r="R35" s="971">
        <f>226.877+259.889</f>
        <v>486.766</v>
      </c>
      <c r="S35" s="971">
        <f>279+237</f>
        <v>516</v>
      </c>
      <c r="T35" s="971">
        <f>244.968+293.051</f>
        <v>538.019</v>
      </c>
      <c r="U35" s="971">
        <f>302.727+251.525</f>
        <v>554.252</v>
      </c>
      <c r="V35" s="481">
        <f t="shared" si="3"/>
        <v>3.0171796906800523</v>
      </c>
      <c r="W35" s="505" t="s">
        <v>87</v>
      </c>
    </row>
    <row r="36" spans="1:23" ht="12.75" customHeight="1">
      <c r="A36" s="114"/>
      <c r="B36" s="102" t="s">
        <v>88</v>
      </c>
      <c r="C36" s="963">
        <f>117.387+146.793</f>
        <v>264.18</v>
      </c>
      <c r="D36" s="960">
        <f>121.95+150.765</f>
        <v>272.715</v>
      </c>
      <c r="E36" s="960">
        <f>130.041+149.38</f>
        <v>279.421</v>
      </c>
      <c r="F36" s="960">
        <f>137.466+148.454</f>
        <v>285.92</v>
      </c>
      <c r="G36" s="960">
        <f>149.97+150.49</f>
        <v>300.46000000000004</v>
      </c>
      <c r="H36" s="960">
        <f>167.346+142.723</f>
        <v>310.069</v>
      </c>
      <c r="I36" s="960">
        <f>190.607+145.734</f>
        <v>336.341</v>
      </c>
      <c r="J36" s="960">
        <f>220.75+151.619</f>
        <v>372.369</v>
      </c>
      <c r="K36" s="960">
        <f>247.129+148.472</f>
        <v>395.601</v>
      </c>
      <c r="L36" s="960">
        <f>205.567+155.754+41.996</f>
        <v>403.317</v>
      </c>
      <c r="M36" s="960">
        <f>225.038+169.574+58.47</f>
        <v>453.082</v>
      </c>
      <c r="N36" s="960">
        <f>245.039+177.306+75.399</f>
        <v>497.744</v>
      </c>
      <c r="O36" s="960">
        <f>259.017+184.231+84.877</f>
        <v>528.125</v>
      </c>
      <c r="P36" s="960">
        <v>553.929</v>
      </c>
      <c r="Q36" s="960">
        <f>277.626+91.677+202.587</f>
        <v>571.89</v>
      </c>
      <c r="R36" s="960">
        <f>277.745+78.348+214.147</f>
        <v>570.24</v>
      </c>
      <c r="S36" s="960">
        <f>280.562+222.764+75.169</f>
        <v>578.495</v>
      </c>
      <c r="T36" s="960">
        <f>236.704+73.163+283.942</f>
        <v>593.809</v>
      </c>
      <c r="U36" s="960">
        <f>284.969+73.176+247.445</f>
        <v>605.5899999999999</v>
      </c>
      <c r="V36" s="216">
        <f t="shared" si="3"/>
        <v>1.9839712769594229</v>
      </c>
      <c r="W36" s="269" t="s">
        <v>88</v>
      </c>
    </row>
    <row r="37" spans="1:23" ht="12.75" customHeight="1">
      <c r="A37" s="114"/>
      <c r="B37" s="477" t="s">
        <v>13</v>
      </c>
      <c r="C37" s="978">
        <v>714</v>
      </c>
      <c r="D37" s="979">
        <v>752</v>
      </c>
      <c r="E37" s="979">
        <v>766</v>
      </c>
      <c r="F37" s="979">
        <v>828</v>
      </c>
      <c r="G37" s="979">
        <v>905</v>
      </c>
      <c r="H37" s="979">
        <v>971</v>
      </c>
      <c r="I37" s="979">
        <v>1028</v>
      </c>
      <c r="J37" s="979">
        <v>1090</v>
      </c>
      <c r="K37" s="979">
        <v>1162</v>
      </c>
      <c r="L37" s="979">
        <v>1218</v>
      </c>
      <c r="M37" s="979">
        <v>1235</v>
      </c>
      <c r="N37" s="979">
        <f>1209.6+30</f>
        <v>1239.6</v>
      </c>
      <c r="O37" s="979">
        <f>1248.3+32</f>
        <v>1280.3</v>
      </c>
      <c r="P37" s="979">
        <v>1305.6</v>
      </c>
      <c r="Q37" s="979">
        <f>1275.6+31.156</f>
        <v>1306.7559999999999</v>
      </c>
      <c r="R37" s="979">
        <f>30.001+1234.4</f>
        <v>1264.401</v>
      </c>
      <c r="S37" s="979">
        <f>1238.3+28.536</f>
        <v>1266.836</v>
      </c>
      <c r="T37" s="979">
        <f>1224.8+26.998</f>
        <v>1251.798</v>
      </c>
      <c r="U37" s="979">
        <f>1219.4+24.345</f>
        <v>1243.7450000000001</v>
      </c>
      <c r="V37" s="482">
        <f t="shared" si="3"/>
        <v>-0.6433146561985126</v>
      </c>
      <c r="W37" s="508" t="s">
        <v>13</v>
      </c>
    </row>
    <row r="38" spans="1:23" ht="12.75" customHeight="1">
      <c r="A38" s="114"/>
      <c r="B38" s="102" t="s">
        <v>310</v>
      </c>
      <c r="C38" s="960">
        <v>6.946</v>
      </c>
      <c r="D38" s="960">
        <v>5.541</v>
      </c>
      <c r="E38" s="960">
        <v>3.645</v>
      </c>
      <c r="F38" s="960">
        <v>4.109</v>
      </c>
      <c r="G38" s="960">
        <v>3.214</v>
      </c>
      <c r="H38" s="960">
        <v>3.808</v>
      </c>
      <c r="I38" s="960">
        <v>3.447</v>
      </c>
      <c r="J38" s="960">
        <v>3.4</v>
      </c>
      <c r="K38" s="960">
        <v>3.896</v>
      </c>
      <c r="L38" s="960">
        <v>4.877</v>
      </c>
      <c r="M38" s="960">
        <v>7.17</v>
      </c>
      <c r="N38" s="960">
        <v>11.639</v>
      </c>
      <c r="O38" s="960">
        <v>13.859</v>
      </c>
      <c r="P38" s="960">
        <v>18.329</v>
      </c>
      <c r="Q38" s="960">
        <v>20.874</v>
      </c>
      <c r="R38" s="960">
        <v>24.022</v>
      </c>
      <c r="S38" s="960">
        <v>24.009</v>
      </c>
      <c r="T38" s="960">
        <v>25.492</v>
      </c>
      <c r="U38" s="960">
        <v>26.664</v>
      </c>
      <c r="V38" s="216">
        <f t="shared" si="3"/>
        <v>4.597520790836356</v>
      </c>
      <c r="W38" s="269" t="s">
        <v>310</v>
      </c>
    </row>
    <row r="39" spans="1:23" ht="12.75" customHeight="1">
      <c r="A39" s="114"/>
      <c r="B39" s="294" t="s">
        <v>244</v>
      </c>
      <c r="C39" s="971"/>
      <c r="D39" s="971"/>
      <c r="E39" s="971"/>
      <c r="F39" s="971"/>
      <c r="G39" s="971"/>
      <c r="H39" s="971"/>
      <c r="I39" s="971"/>
      <c r="J39" s="971"/>
      <c r="K39" s="971"/>
      <c r="L39" s="971"/>
      <c r="M39" s="971"/>
      <c r="N39" s="971"/>
      <c r="O39" s="971"/>
      <c r="P39" s="971"/>
      <c r="Q39" s="971"/>
      <c r="R39" s="971"/>
      <c r="S39" s="971">
        <v>4.661</v>
      </c>
      <c r="T39" s="971">
        <v>4.576</v>
      </c>
      <c r="U39" s="971">
        <v>5.046</v>
      </c>
      <c r="V39" s="481">
        <f t="shared" si="3"/>
        <v>10.270979020979041</v>
      </c>
      <c r="W39" s="505" t="s">
        <v>244</v>
      </c>
    </row>
    <row r="40" spans="1:23" ht="12.75" customHeight="1">
      <c r="A40" s="114"/>
      <c r="B40" s="102" t="s">
        <v>149</v>
      </c>
      <c r="C40" s="960"/>
      <c r="D40" s="960"/>
      <c r="E40" s="960"/>
      <c r="F40" s="960"/>
      <c r="G40" s="960"/>
      <c r="H40" s="960"/>
      <c r="I40" s="960"/>
      <c r="J40" s="960"/>
      <c r="K40" s="960">
        <v>2.142</v>
      </c>
      <c r="L40" s="960">
        <v>1.382</v>
      </c>
      <c r="M40" s="960">
        <v>1.724</v>
      </c>
      <c r="N40" s="960">
        <v>3.442</v>
      </c>
      <c r="O40" s="960">
        <v>4.437</v>
      </c>
      <c r="P40" s="960">
        <v>8.626</v>
      </c>
      <c r="Q40" s="960">
        <f>9.097</f>
        <v>9.097</v>
      </c>
      <c r="R40" s="960">
        <f>7.761</f>
        <v>7.761</v>
      </c>
      <c r="S40" s="960">
        <f>8.373</f>
        <v>8.373</v>
      </c>
      <c r="T40" s="960">
        <v>8.473</v>
      </c>
      <c r="U40" s="960">
        <v>8.093</v>
      </c>
      <c r="V40" s="216">
        <f t="shared" si="3"/>
        <v>-4.484834179157332</v>
      </c>
      <c r="W40" s="269" t="s">
        <v>149</v>
      </c>
    </row>
    <row r="41" spans="1:23" ht="12.75" customHeight="1">
      <c r="A41" s="114"/>
      <c r="B41" s="294" t="s">
        <v>245</v>
      </c>
      <c r="C41" s="971"/>
      <c r="D41" s="971"/>
      <c r="E41" s="971"/>
      <c r="F41" s="971"/>
      <c r="G41" s="971"/>
      <c r="H41" s="971"/>
      <c r="I41" s="971">
        <v>13.097</v>
      </c>
      <c r="J41" s="971">
        <v>12.339</v>
      </c>
      <c r="K41" s="971">
        <v>13.287</v>
      </c>
      <c r="L41" s="971">
        <v>14.771</v>
      </c>
      <c r="M41" s="971">
        <v>16.042</v>
      </c>
      <c r="N41" s="971">
        <v>20.38</v>
      </c>
      <c r="O41" s="971">
        <v>24.897</v>
      </c>
      <c r="P41" s="971">
        <v>31.803</v>
      </c>
      <c r="Q41" s="971">
        <v>34.5</v>
      </c>
      <c r="R41" s="972">
        <v>37.946</v>
      </c>
      <c r="S41" s="971">
        <v>39.135</v>
      </c>
      <c r="T41" s="971">
        <v>47.237</v>
      </c>
      <c r="U41" s="971">
        <f>22.582+36.87</f>
        <v>59.452</v>
      </c>
      <c r="V41" s="481">
        <f t="shared" si="3"/>
        <v>25.858966488134286</v>
      </c>
      <c r="W41" s="505" t="s">
        <v>245</v>
      </c>
    </row>
    <row r="42" spans="1:23" ht="12.75" customHeight="1">
      <c r="A42" s="114"/>
      <c r="B42" s="103" t="s">
        <v>150</v>
      </c>
      <c r="C42" s="960">
        <v>819.922</v>
      </c>
      <c r="D42" s="960">
        <v>854.15</v>
      </c>
      <c r="E42" s="960">
        <v>905.121</v>
      </c>
      <c r="F42" s="960">
        <v>940.935</v>
      </c>
      <c r="G42" s="960">
        <v>975.746</v>
      </c>
      <c r="H42" s="960">
        <v>1011.284</v>
      </c>
      <c r="I42" s="960">
        <v>1031.221</v>
      </c>
      <c r="J42" s="960">
        <v>1046.907</v>
      </c>
      <c r="K42" s="960">
        <v>1073.415</v>
      </c>
      <c r="L42" s="960">
        <v>1218.677</v>
      </c>
      <c r="M42" s="960">
        <v>1441.066</v>
      </c>
      <c r="N42" s="960">
        <v>1822.831</v>
      </c>
      <c r="O42" s="960">
        <v>2003.492</v>
      </c>
      <c r="P42" s="960">
        <v>2181.383</v>
      </c>
      <c r="Q42" s="960">
        <v>2303.261</v>
      </c>
      <c r="R42" s="960">
        <f>2389.488</f>
        <v>2389.488</v>
      </c>
      <c r="S42" s="960">
        <f>2527.19</f>
        <v>2527.19</v>
      </c>
      <c r="T42" s="960">
        <v>2657.722</v>
      </c>
      <c r="U42" s="960">
        <f>2722.826</f>
        <v>2722.826</v>
      </c>
      <c r="V42" s="216">
        <f t="shared" si="3"/>
        <v>2.4496166265696644</v>
      </c>
      <c r="W42" s="276" t="s">
        <v>150</v>
      </c>
    </row>
    <row r="43" spans="1:23" ht="12.75" customHeight="1">
      <c r="A43" s="114"/>
      <c r="B43" s="522" t="s">
        <v>151</v>
      </c>
      <c r="C43" s="987">
        <v>1.881</v>
      </c>
      <c r="D43" s="987">
        <v>1.95</v>
      </c>
      <c r="E43" s="987">
        <v>2.047</v>
      </c>
      <c r="F43" s="987">
        <v>1.906</v>
      </c>
      <c r="G43" s="987">
        <v>2.084</v>
      </c>
      <c r="H43" s="987">
        <v>2.278</v>
      </c>
      <c r="I43" s="987">
        <v>2.444</v>
      </c>
      <c r="J43" s="987">
        <v>2.557</v>
      </c>
      <c r="K43" s="987">
        <v>2.747</v>
      </c>
      <c r="L43" s="987">
        <v>3.105</v>
      </c>
      <c r="M43" s="987">
        <v>4.183</v>
      </c>
      <c r="N43" s="987">
        <v>5.699</v>
      </c>
      <c r="O43" s="987">
        <v>8.074</v>
      </c>
      <c r="P43" s="987">
        <v>9.009</v>
      </c>
      <c r="Q43" s="987">
        <v>9.42</v>
      </c>
      <c r="R43" s="987">
        <v>9.651</v>
      </c>
      <c r="S43" s="987">
        <f>9.922</f>
        <v>9.922</v>
      </c>
      <c r="T43" s="987">
        <v>10.135</v>
      </c>
      <c r="U43" s="987">
        <v>10.213</v>
      </c>
      <c r="V43" s="545">
        <f t="shared" si="3"/>
        <v>0.7696102614701488</v>
      </c>
      <c r="W43" s="546" t="s">
        <v>151</v>
      </c>
    </row>
    <row r="44" spans="1:23" ht="12.75" customHeight="1">
      <c r="A44" s="114"/>
      <c r="B44" s="102" t="s">
        <v>152</v>
      </c>
      <c r="C44" s="960">
        <v>158.624</v>
      </c>
      <c r="D44" s="960">
        <v>164.775</v>
      </c>
      <c r="E44" s="960">
        <v>174.603</v>
      </c>
      <c r="F44" s="960">
        <v>184.34699999999998</v>
      </c>
      <c r="G44" s="960">
        <v>193.00099999999998</v>
      </c>
      <c r="H44" s="960">
        <v>201.564</v>
      </c>
      <c r="I44" s="960">
        <v>211.42700000000002</v>
      </c>
      <c r="J44" s="960">
        <v>225.173</v>
      </c>
      <c r="K44" s="960">
        <v>239.596</v>
      </c>
      <c r="L44" s="960">
        <v>248.57099999999997</v>
      </c>
      <c r="M44" s="960">
        <f>148.161+13.63+95.708</f>
        <v>257.499</v>
      </c>
      <c r="N44" s="960">
        <f>116.875+151.67</f>
        <v>268.54499999999996</v>
      </c>
      <c r="O44" s="960">
        <f>156.287+16.589+109.618</f>
        <v>282.494</v>
      </c>
      <c r="P44" s="960">
        <f>161.662+17.677+117.044</f>
        <v>296.383</v>
      </c>
      <c r="Q44" s="960">
        <f>141.235+165.557</f>
        <v>306.79200000000003</v>
      </c>
      <c r="R44" s="960">
        <f>146.592+168.904</f>
        <v>315.496</v>
      </c>
      <c r="S44" s="960">
        <f>151.65+171.846</f>
        <v>323.496</v>
      </c>
      <c r="T44" s="960">
        <v>331.699</v>
      </c>
      <c r="U44" s="960">
        <f>176.087+21.349+140.474</f>
        <v>337.90999999999997</v>
      </c>
      <c r="V44" s="216">
        <f t="shared" si="3"/>
        <v>1.8724807732311461</v>
      </c>
      <c r="W44" s="269" t="s">
        <v>152</v>
      </c>
    </row>
    <row r="45" spans="1:23" ht="12.75" customHeight="1">
      <c r="A45" s="114"/>
      <c r="B45" s="294" t="s">
        <v>153</v>
      </c>
      <c r="C45" s="971">
        <v>704.127</v>
      </c>
      <c r="D45" s="971">
        <v>699.052</v>
      </c>
      <c r="E45" s="971">
        <v>709.645</v>
      </c>
      <c r="F45" s="971">
        <v>718.764</v>
      </c>
      <c r="G45" s="971">
        <v>728.954</v>
      </c>
      <c r="H45" s="971">
        <v>732.551</v>
      </c>
      <c r="I45" s="971">
        <v>741.014</v>
      </c>
      <c r="J45" s="971">
        <v>753.372</v>
      </c>
      <c r="K45" s="971">
        <v>762.918</v>
      </c>
      <c r="L45" s="971">
        <v>770.639</v>
      </c>
      <c r="M45" s="971">
        <v>771.052</v>
      </c>
      <c r="N45" s="971">
        <v>782.675</v>
      </c>
      <c r="O45" s="971">
        <v>787.547</v>
      </c>
      <c r="P45" s="971">
        <v>802.245</v>
      </c>
      <c r="Q45" s="971">
        <v>806.492</v>
      </c>
      <c r="R45" s="971">
        <v>815.648</v>
      </c>
      <c r="S45" s="971">
        <v>833.934</v>
      </c>
      <c r="T45" s="971">
        <v>851.429</v>
      </c>
      <c r="U45" s="971">
        <v>862.913</v>
      </c>
      <c r="V45" s="481">
        <f t="shared" si="3"/>
        <v>1.348791267386943</v>
      </c>
      <c r="W45" s="505" t="s">
        <v>153</v>
      </c>
    </row>
    <row r="46" spans="1:23" ht="12.75" customHeight="1">
      <c r="A46" s="114"/>
      <c r="B46" s="103" t="s">
        <v>217</v>
      </c>
      <c r="C46" s="984"/>
      <c r="D46" s="984"/>
      <c r="E46" s="984"/>
      <c r="F46" s="984"/>
      <c r="G46" s="984">
        <v>2.443</v>
      </c>
      <c r="H46" s="984">
        <v>2.594</v>
      </c>
      <c r="I46" s="984">
        <v>2.754</v>
      </c>
      <c r="J46" s="984">
        <v>2.878</v>
      </c>
      <c r="K46" s="984">
        <v>2.98</v>
      </c>
      <c r="L46" s="984">
        <v>3.003</v>
      </c>
      <c r="M46" s="984">
        <v>3.11</v>
      </c>
      <c r="N46" s="984">
        <v>3.17</v>
      </c>
      <c r="O46" s="984">
        <v>3.256</v>
      </c>
      <c r="P46" s="984">
        <v>3.438</v>
      </c>
      <c r="Q46" s="984">
        <f>3.577</f>
        <v>3.577</v>
      </c>
      <c r="R46" s="984">
        <v>3.734</v>
      </c>
      <c r="S46" s="984">
        <f>3.753</f>
        <v>3.753</v>
      </c>
      <c r="T46" s="984">
        <v>3.931</v>
      </c>
      <c r="U46" s="984">
        <f>3.999</f>
        <v>3.999</v>
      </c>
      <c r="V46" s="238">
        <f t="shared" si="3"/>
        <v>1.729839735436272</v>
      </c>
      <c r="W46" s="276" t="s">
        <v>217</v>
      </c>
    </row>
    <row r="47" spans="2:23" ht="31.5" customHeight="1">
      <c r="B47" s="1127" t="s">
        <v>278</v>
      </c>
      <c r="C47" s="1128"/>
      <c r="D47" s="1128"/>
      <c r="E47" s="1128"/>
      <c r="F47" s="1128"/>
      <c r="G47" s="1128"/>
      <c r="H47" s="1128"/>
      <c r="I47" s="1128"/>
      <c r="J47" s="1128"/>
      <c r="K47" s="1128"/>
      <c r="L47" s="1128"/>
      <c r="M47" s="1128"/>
      <c r="N47" s="1128"/>
      <c r="O47" s="1128"/>
      <c r="P47" s="1128"/>
      <c r="Q47" s="1128"/>
      <c r="R47" s="1128"/>
      <c r="S47" s="1128"/>
      <c r="T47" s="1128"/>
      <c r="U47" s="1128"/>
      <c r="V47" s="1128"/>
      <c r="W47" s="1128"/>
    </row>
    <row r="48" spans="2:23" ht="12.75" customHeight="1">
      <c r="B48" s="1129" t="s">
        <v>279</v>
      </c>
      <c r="C48" s="1130"/>
      <c r="D48" s="1130"/>
      <c r="E48" s="1130"/>
      <c r="F48" s="1130"/>
      <c r="G48" s="1130"/>
      <c r="H48" s="1130"/>
      <c r="I48" s="1130"/>
      <c r="J48" s="1130"/>
      <c r="K48" s="1130"/>
      <c r="L48" s="1130"/>
      <c r="M48" s="1130"/>
      <c r="N48" s="1130"/>
      <c r="O48" s="1130"/>
      <c r="P48" s="1130"/>
      <c r="Q48" s="1130"/>
      <c r="R48" s="1130"/>
      <c r="S48" s="1130"/>
      <c r="T48" s="1130"/>
      <c r="U48" s="1130"/>
      <c r="V48" s="1130"/>
      <c r="W48" s="1130"/>
    </row>
    <row r="49" spans="2:23" ht="12.75" customHeight="1">
      <c r="B49" s="1126" t="s">
        <v>280</v>
      </c>
      <c r="C49" s="1126"/>
      <c r="D49" s="1126"/>
      <c r="E49" s="1126"/>
      <c r="F49" s="1126"/>
      <c r="G49" s="1126"/>
      <c r="H49" s="1126"/>
      <c r="I49" s="1126"/>
      <c r="J49" s="1126"/>
      <c r="K49" s="1126"/>
      <c r="L49" s="1126"/>
      <c r="M49" s="1126"/>
      <c r="N49" s="1126"/>
      <c r="O49" s="1126"/>
      <c r="P49" s="1126"/>
      <c r="Q49" s="1126"/>
      <c r="R49" s="1126"/>
      <c r="S49" s="1126"/>
      <c r="T49" s="1126"/>
      <c r="U49" s="1126"/>
      <c r="V49" s="1126"/>
      <c r="W49" s="1126"/>
    </row>
    <row r="50" spans="2:23" ht="12.75" customHeight="1">
      <c r="B50" s="1126" t="s">
        <v>281</v>
      </c>
      <c r="C50" s="1126"/>
      <c r="D50" s="1126"/>
      <c r="E50" s="1126"/>
      <c r="F50" s="1126"/>
      <c r="G50" s="1126"/>
      <c r="H50" s="1126"/>
      <c r="I50" s="1126"/>
      <c r="J50" s="1126"/>
      <c r="K50" s="1126"/>
      <c r="L50" s="1126"/>
      <c r="M50" s="1126"/>
      <c r="N50" s="1126"/>
      <c r="O50" s="1126"/>
      <c r="P50" s="1126"/>
      <c r="Q50" s="1126"/>
      <c r="R50" s="1126"/>
      <c r="S50" s="1126"/>
      <c r="T50" s="1126"/>
      <c r="U50" s="1126"/>
      <c r="V50" s="1126"/>
      <c r="W50" s="1126"/>
    </row>
    <row r="51" spans="2:23" ht="12.75" customHeight="1">
      <c r="B51" s="1126" t="s">
        <v>282</v>
      </c>
      <c r="C51" s="1126"/>
      <c r="D51" s="1126"/>
      <c r="E51" s="1126"/>
      <c r="F51" s="1126"/>
      <c r="G51" s="1126"/>
      <c r="H51" s="1126"/>
      <c r="I51" s="1126"/>
      <c r="J51" s="1126"/>
      <c r="K51" s="1126"/>
      <c r="L51" s="1126"/>
      <c r="M51" s="1126"/>
      <c r="N51" s="1126"/>
      <c r="O51" s="1126"/>
      <c r="P51" s="1126"/>
      <c r="Q51" s="1126"/>
      <c r="R51" s="1126"/>
      <c r="S51" s="1126"/>
      <c r="T51" s="1126"/>
      <c r="U51" s="1126"/>
      <c r="V51" s="1126"/>
      <c r="W51" s="1126"/>
    </row>
    <row r="52" spans="2:23" ht="16.5" customHeight="1">
      <c r="B52" s="1126" t="s">
        <v>283</v>
      </c>
      <c r="C52" s="1126"/>
      <c r="D52" s="1126"/>
      <c r="E52" s="1126"/>
      <c r="F52" s="1126"/>
      <c r="G52" s="1126"/>
      <c r="H52" s="1126"/>
      <c r="I52" s="1126"/>
      <c r="J52" s="1126"/>
      <c r="K52" s="1126"/>
      <c r="L52" s="1126"/>
      <c r="M52" s="1126"/>
      <c r="N52" s="1126"/>
      <c r="O52" s="1126"/>
      <c r="P52" s="1126"/>
      <c r="Q52" s="1126"/>
      <c r="R52" s="1126"/>
      <c r="S52" s="1126"/>
      <c r="T52" s="1126"/>
      <c r="U52" s="1126"/>
      <c r="V52" s="1126"/>
      <c r="W52" s="1126"/>
    </row>
    <row r="53" spans="10:23" ht="14.25">
      <c r="J53" s="532"/>
      <c r="K53" s="534"/>
      <c r="L53" s="533"/>
      <c r="M53" s="533"/>
      <c r="N53" s="533"/>
      <c r="Q53" s="532"/>
      <c r="R53" s="534"/>
      <c r="S53" s="533"/>
      <c r="T53" s="533"/>
      <c r="U53" s="533"/>
      <c r="V53" s="533"/>
      <c r="W53" s="533"/>
    </row>
    <row r="54" spans="10:23" ht="14.25">
      <c r="J54" s="532"/>
      <c r="K54" s="534"/>
      <c r="L54" s="533"/>
      <c r="M54" s="533"/>
      <c r="N54" s="533"/>
      <c r="Q54" s="532"/>
      <c r="R54" s="534"/>
      <c r="S54" s="533"/>
      <c r="T54" s="533"/>
      <c r="U54" s="533"/>
      <c r="V54" s="533"/>
      <c r="W54" s="533"/>
    </row>
    <row r="55" spans="10:23" ht="14.25">
      <c r="J55" s="532"/>
      <c r="K55" s="532"/>
      <c r="L55" s="533"/>
      <c r="M55" s="533"/>
      <c r="N55" s="533"/>
      <c r="Q55" s="532"/>
      <c r="R55" s="532"/>
      <c r="S55" s="533"/>
      <c r="T55" s="533"/>
      <c r="U55" s="533"/>
      <c r="V55" s="533"/>
      <c r="W55" s="533"/>
    </row>
    <row r="57" spans="10:23" ht="14.25">
      <c r="J57" s="532"/>
      <c r="K57" s="534"/>
      <c r="L57" s="533"/>
      <c r="M57" s="533"/>
      <c r="N57" s="533"/>
      <c r="Q57" s="532"/>
      <c r="S57" s="532"/>
      <c r="T57" s="532"/>
      <c r="U57" s="532"/>
      <c r="V57" s="534"/>
      <c r="W57" s="533"/>
    </row>
    <row r="58" spans="10:23" ht="14.25">
      <c r="J58" s="532"/>
      <c r="K58" s="534"/>
      <c r="L58" s="533"/>
      <c r="M58" s="533"/>
      <c r="N58" s="533"/>
      <c r="Q58" s="532"/>
      <c r="S58" s="532"/>
      <c r="T58" s="532"/>
      <c r="U58" s="532"/>
      <c r="V58" s="534"/>
      <c r="W58" s="533"/>
    </row>
    <row r="59" spans="10:23" ht="14.25">
      <c r="J59" s="532"/>
      <c r="K59" s="534"/>
      <c r="L59" s="533"/>
      <c r="M59" s="533"/>
      <c r="N59" s="533"/>
      <c r="Q59" s="532"/>
      <c r="S59" s="532"/>
      <c r="T59" s="532"/>
      <c r="U59" s="532"/>
      <c r="V59" s="534"/>
      <c r="W59" s="533"/>
    </row>
    <row r="60" spans="10:23" ht="14.25">
      <c r="J60" s="532"/>
      <c r="K60" s="534"/>
      <c r="L60" s="533"/>
      <c r="M60" s="533"/>
      <c r="N60" s="533"/>
      <c r="Q60" s="532"/>
      <c r="S60" s="532"/>
      <c r="T60" s="532"/>
      <c r="U60" s="532"/>
      <c r="V60" s="534"/>
      <c r="W60" s="533"/>
    </row>
    <row r="61" spans="10:23" ht="14.25">
      <c r="J61" s="532"/>
      <c r="K61" s="534"/>
      <c r="L61" s="533"/>
      <c r="M61" s="533"/>
      <c r="N61" s="533"/>
      <c r="Q61" s="532"/>
      <c r="S61" s="532"/>
      <c r="T61" s="532"/>
      <c r="U61" s="532"/>
      <c r="V61" s="534"/>
      <c r="W61" s="533"/>
    </row>
    <row r="62" spans="10:23" ht="14.25">
      <c r="J62" s="532"/>
      <c r="K62" s="534"/>
      <c r="L62" s="533"/>
      <c r="M62" s="533"/>
      <c r="N62" s="533"/>
      <c r="Q62" s="532"/>
      <c r="S62" s="532"/>
      <c r="T62" s="532"/>
      <c r="U62" s="532"/>
      <c r="V62" s="534"/>
      <c r="W62" s="533"/>
    </row>
    <row r="63" spans="10:23" ht="14.25">
      <c r="J63" s="532"/>
      <c r="K63" s="534"/>
      <c r="L63" s="533"/>
      <c r="M63" s="533"/>
      <c r="N63" s="533"/>
      <c r="Q63" s="532"/>
      <c r="S63" s="532"/>
      <c r="T63" s="532"/>
      <c r="U63" s="532"/>
      <c r="V63" s="534"/>
      <c r="W63" s="533"/>
    </row>
    <row r="64" spans="10:23" ht="14.25">
      <c r="J64" s="532"/>
      <c r="K64" s="534"/>
      <c r="L64" s="533"/>
      <c r="M64" s="533"/>
      <c r="N64" s="533"/>
      <c r="Q64" s="532"/>
      <c r="S64" s="532"/>
      <c r="T64" s="532"/>
      <c r="U64" s="532"/>
      <c r="V64" s="534"/>
      <c r="W64" s="533"/>
    </row>
    <row r="65" spans="10:23" ht="14.25">
      <c r="J65" s="532"/>
      <c r="K65" s="534"/>
      <c r="L65" s="533"/>
      <c r="M65" s="533"/>
      <c r="N65" s="533"/>
      <c r="Q65" s="532"/>
      <c r="S65" s="532"/>
      <c r="T65" s="532"/>
      <c r="U65" s="532"/>
      <c r="V65" s="534"/>
      <c r="W65" s="533"/>
    </row>
    <row r="66" spans="10:23" ht="14.25">
      <c r="J66" s="532"/>
      <c r="K66" s="534"/>
      <c r="L66" s="533"/>
      <c r="M66" s="533"/>
      <c r="N66" s="533"/>
      <c r="Q66" s="532"/>
      <c r="S66" s="532"/>
      <c r="T66" s="532"/>
      <c r="U66" s="532"/>
      <c r="V66" s="534"/>
      <c r="W66" s="533"/>
    </row>
    <row r="67" spans="10:23" ht="14.25">
      <c r="J67" s="532"/>
      <c r="K67" s="534"/>
      <c r="L67" s="533"/>
      <c r="M67" s="533"/>
      <c r="N67" s="533"/>
      <c r="Q67" s="532"/>
      <c r="S67" s="532"/>
      <c r="T67" s="532"/>
      <c r="U67" s="532"/>
      <c r="V67" s="534"/>
      <c r="W67" s="533"/>
    </row>
    <row r="68" spans="10:23" ht="14.25">
      <c r="J68" s="532"/>
      <c r="K68" s="534"/>
      <c r="L68" s="533"/>
      <c r="M68" s="533"/>
      <c r="N68" s="533"/>
      <c r="Q68" s="532"/>
      <c r="S68" s="532"/>
      <c r="T68" s="532"/>
      <c r="U68" s="532"/>
      <c r="V68" s="534"/>
      <c r="W68" s="533"/>
    </row>
    <row r="69" spans="10:23" ht="14.25">
      <c r="J69" s="532"/>
      <c r="K69" s="534"/>
      <c r="L69" s="533"/>
      <c r="M69" s="533"/>
      <c r="N69" s="533"/>
      <c r="Q69" s="532"/>
      <c r="S69" s="532"/>
      <c r="T69" s="532"/>
      <c r="U69" s="532"/>
      <c r="V69" s="534"/>
      <c r="W69" s="533"/>
    </row>
    <row r="70" spans="10:23" ht="14.25">
      <c r="J70" s="532"/>
      <c r="K70" s="534"/>
      <c r="L70" s="533"/>
      <c r="M70" s="533"/>
      <c r="N70" s="533"/>
      <c r="Q70" s="532"/>
      <c r="S70" s="532"/>
      <c r="T70" s="532"/>
      <c r="U70" s="532"/>
      <c r="V70" s="534"/>
      <c r="W70" s="533"/>
    </row>
    <row r="71" spans="10:23" ht="14.25">
      <c r="J71" s="532"/>
      <c r="K71" s="534"/>
      <c r="L71" s="533"/>
      <c r="M71" s="533"/>
      <c r="N71" s="533"/>
      <c r="Q71" s="532"/>
      <c r="S71" s="532"/>
      <c r="T71" s="532"/>
      <c r="U71" s="532"/>
      <c r="V71" s="534"/>
      <c r="W71" s="533"/>
    </row>
    <row r="72" spans="10:23" ht="14.25">
      <c r="J72" s="532"/>
      <c r="K72" s="534"/>
      <c r="L72" s="533"/>
      <c r="M72" s="533"/>
      <c r="N72" s="533"/>
      <c r="Q72" s="532"/>
      <c r="S72" s="532"/>
      <c r="T72" s="532"/>
      <c r="U72" s="532"/>
      <c r="V72" s="534"/>
      <c r="W72" s="533"/>
    </row>
    <row r="73" spans="10:23" ht="14.25">
      <c r="J73" s="532"/>
      <c r="K73" s="534"/>
      <c r="L73" s="533"/>
      <c r="M73" s="533"/>
      <c r="N73" s="533"/>
      <c r="Q73" s="532"/>
      <c r="S73" s="532"/>
      <c r="T73" s="532"/>
      <c r="U73" s="532"/>
      <c r="V73" s="534"/>
      <c r="W73" s="533"/>
    </row>
    <row r="74" spans="10:23" ht="14.25">
      <c r="J74" s="532"/>
      <c r="K74" s="534"/>
      <c r="L74" s="533"/>
      <c r="M74" s="533"/>
      <c r="N74" s="533"/>
      <c r="Q74" s="532"/>
      <c r="S74" s="532"/>
      <c r="T74" s="532"/>
      <c r="U74" s="532"/>
      <c r="V74" s="534"/>
      <c r="W74" s="533"/>
    </row>
    <row r="75" spans="10:23" ht="14.25">
      <c r="J75" s="532"/>
      <c r="K75" s="534"/>
      <c r="L75" s="533"/>
      <c r="M75" s="533"/>
      <c r="N75" s="533"/>
      <c r="Q75" s="532"/>
      <c r="S75" s="532"/>
      <c r="T75" s="532"/>
      <c r="U75" s="532"/>
      <c r="V75" s="534"/>
      <c r="W75" s="533"/>
    </row>
    <row r="76" spans="10:23" ht="14.25">
      <c r="J76" s="532"/>
      <c r="K76" s="534"/>
      <c r="L76" s="533"/>
      <c r="M76" s="533"/>
      <c r="N76" s="533"/>
      <c r="Q76" s="532"/>
      <c r="S76" s="532"/>
      <c r="T76" s="532"/>
      <c r="U76" s="532"/>
      <c r="V76" s="534"/>
      <c r="W76" s="533"/>
    </row>
    <row r="77" spans="10:23" ht="14.25">
      <c r="J77" s="532"/>
      <c r="K77" s="534"/>
      <c r="L77" s="533"/>
      <c r="M77" s="533"/>
      <c r="N77" s="533"/>
      <c r="Q77" s="532"/>
      <c r="S77" s="532"/>
      <c r="T77" s="532"/>
      <c r="U77" s="532"/>
      <c r="V77" s="534"/>
      <c r="W77" s="533"/>
    </row>
    <row r="78" spans="10:23" ht="14.25">
      <c r="J78" s="532"/>
      <c r="K78" s="534"/>
      <c r="L78" s="533"/>
      <c r="M78" s="533"/>
      <c r="N78" s="533"/>
      <c r="Q78" s="532"/>
      <c r="S78" s="532"/>
      <c r="T78" s="532"/>
      <c r="U78" s="532"/>
      <c r="V78" s="534"/>
      <c r="W78" s="533"/>
    </row>
    <row r="79" spans="10:23" ht="14.25">
      <c r="J79" s="532"/>
      <c r="K79" s="534"/>
      <c r="L79" s="533"/>
      <c r="M79" s="533"/>
      <c r="N79" s="533"/>
      <c r="Q79" s="532"/>
      <c r="S79" s="532"/>
      <c r="T79" s="532"/>
      <c r="U79" s="532"/>
      <c r="V79" s="534"/>
      <c r="W79" s="533"/>
    </row>
    <row r="80" spans="10:23" ht="14.25">
      <c r="J80" s="532"/>
      <c r="K80" s="534"/>
      <c r="L80" s="533"/>
      <c r="M80" s="533"/>
      <c r="N80" s="533"/>
      <c r="Q80" s="532"/>
      <c r="S80" s="532"/>
      <c r="T80" s="532"/>
      <c r="U80" s="532"/>
      <c r="V80" s="534"/>
      <c r="W80" s="533"/>
    </row>
    <row r="81" spans="10:23" ht="14.25">
      <c r="J81" s="532"/>
      <c r="K81" s="534"/>
      <c r="L81" s="533"/>
      <c r="M81" s="533"/>
      <c r="N81" s="533"/>
      <c r="Q81" s="532"/>
      <c r="S81" s="532"/>
      <c r="T81" s="532"/>
      <c r="U81" s="532"/>
      <c r="V81" s="534"/>
      <c r="W81" s="533"/>
    </row>
    <row r="82" spans="10:23" ht="14.25">
      <c r="J82" s="532"/>
      <c r="K82" s="534"/>
      <c r="L82" s="533"/>
      <c r="M82" s="533"/>
      <c r="N82" s="533"/>
      <c r="Q82" s="532"/>
      <c r="S82" s="532"/>
      <c r="T82" s="532"/>
      <c r="U82" s="532"/>
      <c r="V82" s="534"/>
      <c r="W82" s="533"/>
    </row>
    <row r="83" spans="10:23" ht="14.25">
      <c r="J83" s="532"/>
      <c r="K83" s="534"/>
      <c r="L83" s="533"/>
      <c r="M83" s="533"/>
      <c r="N83" s="533"/>
      <c r="Q83" s="532"/>
      <c r="S83" s="532"/>
      <c r="T83" s="532"/>
      <c r="U83" s="532"/>
      <c r="V83" s="534"/>
      <c r="W83" s="533"/>
    </row>
    <row r="84" spans="10:23" ht="14.25">
      <c r="J84" s="532"/>
      <c r="K84" s="534"/>
      <c r="L84" s="533"/>
      <c r="M84" s="533"/>
      <c r="N84" s="533"/>
      <c r="Q84" s="532"/>
      <c r="S84" s="532"/>
      <c r="T84" s="532"/>
      <c r="U84" s="532"/>
      <c r="V84" s="534"/>
      <c r="W84" s="533"/>
    </row>
    <row r="85" spans="10:23" ht="14.25">
      <c r="J85" s="532"/>
      <c r="K85" s="534"/>
      <c r="L85" s="533"/>
      <c r="M85" s="533"/>
      <c r="N85" s="533"/>
      <c r="Q85" s="532"/>
      <c r="S85" s="532"/>
      <c r="T85" s="532"/>
      <c r="U85" s="532"/>
      <c r="V85" s="534"/>
      <c r="W85" s="533"/>
    </row>
    <row r="86" spans="10:23" ht="14.25">
      <c r="J86" s="532"/>
      <c r="K86" s="534"/>
      <c r="L86" s="533"/>
      <c r="M86" s="533"/>
      <c r="N86" s="533"/>
      <c r="Q86" s="532"/>
      <c r="S86" s="532"/>
      <c r="T86" s="532"/>
      <c r="U86" s="532"/>
      <c r="V86" s="534"/>
      <c r="W86" s="533"/>
    </row>
    <row r="87" spans="10:23" ht="14.25">
      <c r="J87" s="532"/>
      <c r="K87" s="534"/>
      <c r="L87" s="533"/>
      <c r="M87" s="533"/>
      <c r="N87" s="533"/>
      <c r="Q87" s="532"/>
      <c r="S87" s="532"/>
      <c r="T87" s="532"/>
      <c r="U87" s="532"/>
      <c r="V87" s="534"/>
      <c r="W87" s="533"/>
    </row>
    <row r="88" spans="10:23" ht="14.25">
      <c r="J88" s="532"/>
      <c r="K88" s="534"/>
      <c r="L88" s="533"/>
      <c r="M88" s="533"/>
      <c r="N88" s="533"/>
      <c r="Q88" s="532"/>
      <c r="S88" s="532"/>
      <c r="T88" s="532"/>
      <c r="U88" s="532"/>
      <c r="V88" s="534"/>
      <c r="W88" s="533"/>
    </row>
    <row r="89" spans="10:23" ht="14.25">
      <c r="J89" s="532"/>
      <c r="K89" s="534"/>
      <c r="L89" s="533"/>
      <c r="M89" s="533"/>
      <c r="N89" s="533"/>
      <c r="Q89" s="532"/>
      <c r="S89" s="532"/>
      <c r="T89" s="532"/>
      <c r="U89" s="532"/>
      <c r="V89" s="534"/>
      <c r="W89" s="533"/>
    </row>
    <row r="90" spans="10:23" ht="14.25">
      <c r="J90" s="532"/>
      <c r="K90" s="534"/>
      <c r="L90" s="533"/>
      <c r="M90" s="533"/>
      <c r="N90" s="533"/>
      <c r="Q90" s="532"/>
      <c r="S90" s="532"/>
      <c r="T90" s="532"/>
      <c r="U90" s="532"/>
      <c r="V90" s="534"/>
      <c r="W90" s="533"/>
    </row>
    <row r="91" spans="10:23" ht="14.25">
      <c r="J91" s="532"/>
      <c r="K91" s="534"/>
      <c r="L91" s="533"/>
      <c r="M91" s="533"/>
      <c r="N91" s="533"/>
      <c r="Q91" s="532"/>
      <c r="S91" s="532"/>
      <c r="T91" s="532"/>
      <c r="U91" s="532"/>
      <c r="V91" s="534"/>
      <c r="W91" s="533"/>
    </row>
    <row r="92" spans="10:23" ht="14.25">
      <c r="J92" s="532"/>
      <c r="K92" s="534"/>
      <c r="L92" s="533"/>
      <c r="M92" s="533"/>
      <c r="N92" s="533"/>
      <c r="Q92" s="532"/>
      <c r="S92" s="532"/>
      <c r="T92" s="532"/>
      <c r="U92" s="532"/>
      <c r="V92" s="534"/>
      <c r="W92" s="533"/>
    </row>
    <row r="93" spans="10:23" ht="14.25">
      <c r="J93" s="532"/>
      <c r="K93" s="534"/>
      <c r="L93" s="533"/>
      <c r="M93" s="533"/>
      <c r="N93" s="533"/>
      <c r="Q93" s="532"/>
      <c r="S93" s="532"/>
      <c r="T93" s="532"/>
      <c r="U93" s="532"/>
      <c r="V93" s="534"/>
      <c r="W93" s="533"/>
    </row>
    <row r="94" spans="10:23" ht="14.25">
      <c r="J94" s="532"/>
      <c r="K94" s="534"/>
      <c r="L94" s="533"/>
      <c r="M94" s="533"/>
      <c r="N94" s="533"/>
      <c r="Q94" s="532"/>
      <c r="S94" s="532"/>
      <c r="T94" s="532"/>
      <c r="U94" s="532"/>
      <c r="V94" s="534"/>
      <c r="W94" s="533"/>
    </row>
    <row r="95" spans="10:23" ht="14.25">
      <c r="J95" s="532"/>
      <c r="K95" s="534"/>
      <c r="L95" s="533"/>
      <c r="M95" s="533"/>
      <c r="N95" s="533"/>
      <c r="Q95" s="532"/>
      <c r="S95" s="532"/>
      <c r="T95" s="532"/>
      <c r="U95" s="532"/>
      <c r="V95" s="534"/>
      <c r="W95" s="533"/>
    </row>
    <row r="96" spans="10:23" ht="14.25">
      <c r="J96" s="532"/>
      <c r="K96" s="534"/>
      <c r="L96" s="533"/>
      <c r="M96" s="533"/>
      <c r="N96" s="533"/>
      <c r="Q96" s="532"/>
      <c r="S96" s="532"/>
      <c r="T96" s="532"/>
      <c r="U96" s="532"/>
      <c r="V96" s="534"/>
      <c r="W96" s="533"/>
    </row>
    <row r="97" spans="10:14" ht="14.25">
      <c r="J97" s="532"/>
      <c r="K97" s="532"/>
      <c r="L97" s="533"/>
      <c r="M97" s="533"/>
      <c r="N97" s="533"/>
    </row>
    <row r="98" spans="10:14" ht="14.25">
      <c r="J98" s="532"/>
      <c r="K98" s="532"/>
      <c r="L98" s="533"/>
      <c r="M98" s="533"/>
      <c r="N98" s="533"/>
    </row>
  </sheetData>
  <sheetProtection/>
  <mergeCells count="8">
    <mergeCell ref="B51:W51"/>
    <mergeCell ref="B52:W52"/>
    <mergeCell ref="B2:W2"/>
    <mergeCell ref="B3:W3"/>
    <mergeCell ref="B47:W47"/>
    <mergeCell ref="B48:W48"/>
    <mergeCell ref="B49:W49"/>
    <mergeCell ref="B50:W5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C33" sqref="C33"/>
    </sheetView>
  </sheetViews>
  <sheetFormatPr defaultColWidth="9.140625" defaultRowHeight="12.75"/>
  <cols>
    <col min="2" max="2" width="1.7109375" style="0" customWidth="1"/>
    <col min="3" max="3" width="142.8515625" style="0" customWidth="1"/>
    <col min="4" max="4" width="1.8515625" style="0" hidden="1" customWidth="1"/>
    <col min="5" max="5" width="76.421875" style="0" customWidth="1"/>
  </cols>
  <sheetData>
    <row r="1" spans="1:3" s="35" customFormat="1" ht="25.5">
      <c r="A1" s="64" t="s">
        <v>45</v>
      </c>
      <c r="C1" s="63" t="s">
        <v>127</v>
      </c>
    </row>
    <row r="2" spans="1:3" s="35" customFormat="1" ht="12.75">
      <c r="A2" s="35" t="s">
        <v>91</v>
      </c>
      <c r="C2" s="35" t="s">
        <v>116</v>
      </c>
    </row>
    <row r="3" spans="1:3" s="35" customFormat="1" ht="12.75">
      <c r="A3" s="35" t="s">
        <v>49</v>
      </c>
      <c r="C3" s="35" t="s">
        <v>98</v>
      </c>
    </row>
    <row r="4" spans="1:3" s="35" customFormat="1" ht="12.75">
      <c r="A4" s="35" t="s">
        <v>96</v>
      </c>
      <c r="C4" s="35" t="s">
        <v>124</v>
      </c>
    </row>
    <row r="5" spans="1:3" s="35" customFormat="1" ht="12.75">
      <c r="A5" s="297" t="s">
        <v>240</v>
      </c>
      <c r="C5" s="297" t="s">
        <v>295</v>
      </c>
    </row>
    <row r="6" spans="1:3" s="35" customFormat="1" ht="12.75">
      <c r="A6" s="35" t="s">
        <v>90</v>
      </c>
      <c r="C6" s="35" t="s">
        <v>125</v>
      </c>
    </row>
    <row r="7" spans="1:3" s="35" customFormat="1" ht="12.75">
      <c r="A7" s="549" t="s">
        <v>293</v>
      </c>
      <c r="C7" s="297" t="s">
        <v>294</v>
      </c>
    </row>
    <row r="8" spans="1:3" s="35" customFormat="1" ht="12.75">
      <c r="A8" s="35" t="s">
        <v>93</v>
      </c>
      <c r="C8" s="35" t="s">
        <v>143</v>
      </c>
    </row>
    <row r="9" spans="1:3" s="35" customFormat="1" ht="12.75">
      <c r="A9" s="35" t="s">
        <v>117</v>
      </c>
      <c r="C9" s="35" t="s">
        <v>144</v>
      </c>
    </row>
    <row r="10" spans="1:3" s="35" customFormat="1" ht="12.75">
      <c r="A10" s="35" t="s">
        <v>114</v>
      </c>
      <c r="C10" s="35" t="s">
        <v>100</v>
      </c>
    </row>
    <row r="12" ht="12.75">
      <c r="C12" s="61"/>
    </row>
    <row r="13" ht="4.5" customHeight="1"/>
  </sheetData>
  <sheetProtection/>
  <printOptions/>
  <pageMargins left="0.75" right="0.75" top="1" bottom="1" header="0.5" footer="0.5"/>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sheetPr>
    <tabColor rgb="FFFFFF00"/>
  </sheetPr>
  <dimension ref="A1:V47"/>
  <sheetViews>
    <sheetView zoomScalePageLayoutView="0" workbookViewId="0" topLeftCell="A1">
      <selection activeCell="A1" sqref="A1:IV16384"/>
    </sheetView>
  </sheetViews>
  <sheetFormatPr defaultColWidth="9.140625" defaultRowHeight="12.75"/>
  <cols>
    <col min="1" max="1" width="3.7109375" style="0" customWidth="1"/>
    <col min="2" max="2" width="4.00390625" style="0" customWidth="1"/>
    <col min="3" max="4" width="8.7109375" style="93" hidden="1" customWidth="1"/>
    <col min="5" max="5" width="9.7109375" style="93" customWidth="1"/>
    <col min="6" max="9" width="8.7109375" style="93" customWidth="1"/>
    <col min="10" max="17" width="9.7109375" style="93" customWidth="1"/>
    <col min="18" max="19" width="8.140625" style="0" customWidth="1"/>
    <col min="20" max="20" width="5.8515625" style="0" customWidth="1"/>
    <col min="21" max="21" width="2.7109375" style="0" customWidth="1"/>
    <col min="22" max="22" width="7.421875" style="0" customWidth="1"/>
  </cols>
  <sheetData>
    <row r="1" spans="2:20" ht="14.25" customHeight="1">
      <c r="B1" s="253"/>
      <c r="C1" s="319"/>
      <c r="D1" s="319"/>
      <c r="E1" s="319"/>
      <c r="F1" s="319"/>
      <c r="G1" s="319"/>
      <c r="J1" s="320"/>
      <c r="R1" s="159" t="s">
        <v>132</v>
      </c>
      <c r="S1" s="159"/>
      <c r="T1" s="159"/>
    </row>
    <row r="2" spans="2:20" s="229" customFormat="1" ht="30" customHeight="1">
      <c r="B2" s="1131" t="s">
        <v>214</v>
      </c>
      <c r="C2" s="1131"/>
      <c r="D2" s="1131"/>
      <c r="E2" s="1131"/>
      <c r="F2" s="1131"/>
      <c r="G2" s="1131"/>
      <c r="H2" s="1131"/>
      <c r="I2" s="1131"/>
      <c r="J2" s="1131"/>
      <c r="K2" s="1131"/>
      <c r="L2" s="1131"/>
      <c r="M2" s="1131"/>
      <c r="N2" s="1131"/>
      <c r="O2" s="1131"/>
      <c r="P2" s="1131"/>
      <c r="Q2" s="1131"/>
      <c r="R2" s="1131"/>
      <c r="S2" s="321"/>
      <c r="T2" s="321"/>
    </row>
    <row r="3" spans="2:20" ht="15" customHeight="1">
      <c r="B3" s="1092" t="s">
        <v>225</v>
      </c>
      <c r="C3" s="1092"/>
      <c r="D3" s="1092"/>
      <c r="E3" s="1092"/>
      <c r="F3" s="1092"/>
      <c r="G3" s="1092"/>
      <c r="H3" s="1092"/>
      <c r="I3" s="1092"/>
      <c r="J3" s="1092"/>
      <c r="K3" s="1092"/>
      <c r="L3" s="1092"/>
      <c r="M3" s="1092"/>
      <c r="N3" s="1092"/>
      <c r="O3" s="1092"/>
      <c r="P3" s="1092"/>
      <c r="Q3" s="1092"/>
      <c r="R3" s="1092"/>
      <c r="S3" s="160"/>
      <c r="T3" s="160"/>
    </row>
    <row r="4" spans="2:20" ht="12.75">
      <c r="B4" s="123"/>
      <c r="C4" s="322"/>
      <c r="D4" s="322"/>
      <c r="E4" s="322"/>
      <c r="J4" s="323"/>
      <c r="L4" s="323"/>
      <c r="N4" s="323"/>
      <c r="O4" s="323" t="s">
        <v>216</v>
      </c>
      <c r="P4" s="323"/>
      <c r="Q4" s="323"/>
      <c r="R4" s="324"/>
      <c r="S4" s="324"/>
      <c r="T4" s="324"/>
    </row>
    <row r="5" spans="2:22" ht="24.75" customHeight="1">
      <c r="B5" s="123"/>
      <c r="C5" s="258">
        <v>1998</v>
      </c>
      <c r="D5" s="259">
        <v>1999</v>
      </c>
      <c r="E5" s="258">
        <v>2000</v>
      </c>
      <c r="F5" s="259">
        <v>2001</v>
      </c>
      <c r="G5" s="259">
        <v>2002</v>
      </c>
      <c r="H5" s="259">
        <v>2003</v>
      </c>
      <c r="I5" s="259">
        <v>2004</v>
      </c>
      <c r="J5" s="259">
        <v>2005</v>
      </c>
      <c r="K5" s="259">
        <v>2006</v>
      </c>
      <c r="L5" s="259">
        <v>2007</v>
      </c>
      <c r="M5" s="259">
        <v>2008</v>
      </c>
      <c r="N5" s="259">
        <v>2009</v>
      </c>
      <c r="O5" s="259">
        <v>2010</v>
      </c>
      <c r="P5" s="259">
        <v>2011</v>
      </c>
      <c r="Q5" s="259">
        <v>2012</v>
      </c>
      <c r="R5" s="259">
        <v>2013</v>
      </c>
      <c r="S5" s="260">
        <v>2014</v>
      </c>
      <c r="T5" s="224"/>
      <c r="V5" s="325" t="s">
        <v>335</v>
      </c>
    </row>
    <row r="6" spans="2:22" ht="12.75" customHeight="1">
      <c r="B6" s="129" t="s">
        <v>260</v>
      </c>
      <c r="C6" s="239"/>
      <c r="D6" s="167"/>
      <c r="E6" s="998"/>
      <c r="F6" s="942"/>
      <c r="G6" s="942"/>
      <c r="H6" s="942">
        <f aca="true" t="shared" si="0" ref="H6:R6">SUM(H9:H36)</f>
        <v>14957.836</v>
      </c>
      <c r="I6" s="942">
        <f t="shared" si="0"/>
        <v>15248.556000000004</v>
      </c>
      <c r="J6" s="942">
        <f t="shared" si="0"/>
        <v>15194.297000000002</v>
      </c>
      <c r="K6" s="942">
        <f t="shared" si="0"/>
        <v>15564.844999999998</v>
      </c>
      <c r="L6" s="942">
        <f t="shared" si="0"/>
        <v>15711.160000000002</v>
      </c>
      <c r="M6" s="942">
        <f t="shared" si="0"/>
        <v>14457.125000000005</v>
      </c>
      <c r="N6" s="942">
        <f t="shared" si="0"/>
        <v>14232.843</v>
      </c>
      <c r="O6" s="942">
        <f t="shared" si="0"/>
        <v>13438.243999999999</v>
      </c>
      <c r="P6" s="942">
        <f t="shared" si="0"/>
        <v>13215.976000000004</v>
      </c>
      <c r="Q6" s="942">
        <f t="shared" si="0"/>
        <v>12103.864999999998</v>
      </c>
      <c r="R6" s="942">
        <f t="shared" si="0"/>
        <v>11884.291000000001</v>
      </c>
      <c r="S6" s="999">
        <f>SUM(S9:S36)</f>
        <v>12557.079999999998</v>
      </c>
      <c r="T6" s="129" t="s">
        <v>260</v>
      </c>
      <c r="V6" s="326">
        <f>S6/R6*100-100</f>
        <v>5.6611622855751165</v>
      </c>
    </row>
    <row r="7" spans="2:22" ht="12.75" customHeight="1">
      <c r="B7" s="133" t="s">
        <v>89</v>
      </c>
      <c r="C7" s="240">
        <f aca="true" t="shared" si="1" ref="C7:S7">C9+C12+C13+C16+C17+C18+C15+C20+C24+C27+C28+C30+C34+C35+C36</f>
        <v>13940.822999999999</v>
      </c>
      <c r="D7" s="327">
        <f t="shared" si="1"/>
        <v>14632.826</v>
      </c>
      <c r="E7" s="1000">
        <f t="shared" si="1"/>
        <v>14319.107</v>
      </c>
      <c r="F7" s="1001">
        <f t="shared" si="1"/>
        <v>14401.916999999998</v>
      </c>
      <c r="G7" s="1001">
        <f t="shared" si="1"/>
        <v>14008.012999999999</v>
      </c>
      <c r="H7" s="1001">
        <f t="shared" si="1"/>
        <v>13842.554</v>
      </c>
      <c r="I7" s="1001">
        <f t="shared" si="1"/>
        <v>14127.452000000001</v>
      </c>
      <c r="J7" s="1001">
        <f t="shared" si="1"/>
        <v>14111.851</v>
      </c>
      <c r="K7" s="1001">
        <f t="shared" si="1"/>
        <v>14367.267999999998</v>
      </c>
      <c r="L7" s="1001">
        <f t="shared" si="1"/>
        <v>14363.818000000001</v>
      </c>
      <c r="M7" s="1001">
        <f t="shared" si="1"/>
        <v>13152.925</v>
      </c>
      <c r="N7" s="1001">
        <f t="shared" si="1"/>
        <v>13298.97</v>
      </c>
      <c r="O7" s="1001">
        <f t="shared" si="1"/>
        <v>12554.592</v>
      </c>
      <c r="P7" s="591">
        <f t="shared" si="1"/>
        <v>12347.393000000004</v>
      </c>
      <c r="Q7" s="591">
        <f t="shared" si="1"/>
        <v>11297.139</v>
      </c>
      <c r="R7" s="591">
        <f t="shared" si="1"/>
        <v>11097.611</v>
      </c>
      <c r="S7" s="1002">
        <f t="shared" si="1"/>
        <v>11657.525999999998</v>
      </c>
      <c r="T7" s="133" t="s">
        <v>89</v>
      </c>
      <c r="V7" s="328">
        <f aca="true" t="shared" si="2" ref="V7:V44">S7/R7*100-100</f>
        <v>5.045365169134115</v>
      </c>
    </row>
    <row r="8" spans="2:22" ht="12.75" customHeight="1">
      <c r="B8" s="134" t="s">
        <v>261</v>
      </c>
      <c r="C8" s="329"/>
      <c r="D8" s="173"/>
      <c r="E8" s="1003"/>
      <c r="F8" s="994"/>
      <c r="G8" s="994"/>
      <c r="H8" s="994">
        <f>H6-H7</f>
        <v>1115.2819999999992</v>
      </c>
      <c r="I8" s="994">
        <f aca="true" t="shared" si="3" ref="I8:S8">I6-I7</f>
        <v>1121.104000000003</v>
      </c>
      <c r="J8" s="994">
        <f t="shared" si="3"/>
        <v>1082.4460000000017</v>
      </c>
      <c r="K8" s="994">
        <f t="shared" si="3"/>
        <v>1197.5769999999993</v>
      </c>
      <c r="L8" s="994">
        <f t="shared" si="3"/>
        <v>1347.3420000000006</v>
      </c>
      <c r="M8" s="994">
        <f t="shared" si="3"/>
        <v>1304.2000000000062</v>
      </c>
      <c r="N8" s="994">
        <f t="shared" si="3"/>
        <v>933.8730000000014</v>
      </c>
      <c r="O8" s="994">
        <f t="shared" si="3"/>
        <v>883.6519999999982</v>
      </c>
      <c r="P8" s="994">
        <f t="shared" si="3"/>
        <v>868.5830000000005</v>
      </c>
      <c r="Q8" s="994">
        <f>Q6-Q7</f>
        <v>806.7259999999987</v>
      </c>
      <c r="R8" s="994">
        <f t="shared" si="3"/>
        <v>786.6800000000003</v>
      </c>
      <c r="S8" s="1004">
        <f t="shared" si="3"/>
        <v>899.5540000000001</v>
      </c>
      <c r="T8" s="134" t="s">
        <v>261</v>
      </c>
      <c r="V8" s="330">
        <f t="shared" si="2"/>
        <v>14.348146641582304</v>
      </c>
    </row>
    <row r="9" spans="1:22" ht="12.75" customHeight="1">
      <c r="A9" s="114"/>
      <c r="B9" s="104" t="s">
        <v>60</v>
      </c>
      <c r="C9" s="601">
        <v>452.129</v>
      </c>
      <c r="D9" s="183">
        <v>489.621</v>
      </c>
      <c r="E9" s="951">
        <v>515.204</v>
      </c>
      <c r="F9" s="951">
        <v>488.683</v>
      </c>
      <c r="G9" s="951">
        <v>467.569</v>
      </c>
      <c r="H9" s="951">
        <v>458.796</v>
      </c>
      <c r="I9" s="951">
        <v>484.757</v>
      </c>
      <c r="J9" s="951">
        <v>480.088</v>
      </c>
      <c r="K9" s="951">
        <v>526.141</v>
      </c>
      <c r="L9" s="951">
        <v>524.795</v>
      </c>
      <c r="M9" s="951">
        <v>535.947</v>
      </c>
      <c r="N9" s="951">
        <v>476.194</v>
      </c>
      <c r="O9" s="951">
        <v>547.34</v>
      </c>
      <c r="P9" s="951">
        <v>572.211</v>
      </c>
      <c r="Q9" s="951">
        <v>487.377</v>
      </c>
      <c r="R9" s="951">
        <v>486.065</v>
      </c>
      <c r="S9" s="1005">
        <v>482.939</v>
      </c>
      <c r="T9" s="277" t="s">
        <v>60</v>
      </c>
      <c r="V9" s="326">
        <f t="shared" si="2"/>
        <v>-0.643123862034912</v>
      </c>
    </row>
    <row r="10" spans="1:22" ht="12.75" customHeight="1">
      <c r="A10" s="114"/>
      <c r="B10" s="133" t="s">
        <v>101</v>
      </c>
      <c r="C10" s="331"/>
      <c r="D10" s="176"/>
      <c r="E10" s="955"/>
      <c r="F10" s="955"/>
      <c r="G10" s="955">
        <v>13.82</v>
      </c>
      <c r="H10" s="955">
        <v>16.64</v>
      </c>
      <c r="I10" s="955">
        <v>24.91</v>
      </c>
      <c r="J10" s="955">
        <v>32.7</v>
      </c>
      <c r="K10" s="955">
        <v>32.481</v>
      </c>
      <c r="L10" s="955">
        <v>41.042</v>
      </c>
      <c r="M10" s="955">
        <v>43.758</v>
      </c>
      <c r="N10" s="955">
        <v>24.972</v>
      </c>
      <c r="O10" s="955">
        <v>15.646</v>
      </c>
      <c r="P10" s="971">
        <v>18.631</v>
      </c>
      <c r="Q10" s="971">
        <v>19.752</v>
      </c>
      <c r="R10" s="971">
        <v>19.352</v>
      </c>
      <c r="S10" s="1006">
        <v>20.359</v>
      </c>
      <c r="T10" s="233" t="s">
        <v>101</v>
      </c>
      <c r="V10" s="328">
        <f t="shared" si="2"/>
        <v>5.203596527490717</v>
      </c>
    </row>
    <row r="11" spans="1:22" ht="12.75" customHeight="1">
      <c r="A11" s="114"/>
      <c r="B11" s="102" t="s">
        <v>61</v>
      </c>
      <c r="C11" s="212"/>
      <c r="D11" s="177"/>
      <c r="E11" s="960"/>
      <c r="F11" s="960"/>
      <c r="G11" s="960"/>
      <c r="H11" s="960">
        <v>152.981</v>
      </c>
      <c r="I11" s="960">
        <v>143.622</v>
      </c>
      <c r="J11" s="960">
        <v>151.699</v>
      </c>
      <c r="K11" s="960">
        <v>156.686</v>
      </c>
      <c r="L11" s="960">
        <v>174.456</v>
      </c>
      <c r="M11" s="960">
        <v>182.554</v>
      </c>
      <c r="N11" s="960">
        <v>167.708</v>
      </c>
      <c r="O11" s="960">
        <v>169.58</v>
      </c>
      <c r="P11" s="960">
        <v>173.595</v>
      </c>
      <c r="Q11" s="960">
        <v>173.997</v>
      </c>
      <c r="R11" s="960">
        <v>164.746</v>
      </c>
      <c r="S11" s="966">
        <v>192.314</v>
      </c>
      <c r="T11" s="269" t="s">
        <v>61</v>
      </c>
      <c r="V11" s="328">
        <f t="shared" si="2"/>
        <v>16.733638449491934</v>
      </c>
    </row>
    <row r="12" spans="1:22" ht="12.75" customHeight="1">
      <c r="A12" s="114"/>
      <c r="B12" s="133" t="s">
        <v>14</v>
      </c>
      <c r="C12" s="331">
        <v>162.508</v>
      </c>
      <c r="D12" s="176">
        <v>143.727</v>
      </c>
      <c r="E12" s="955">
        <v>112.69</v>
      </c>
      <c r="F12" s="955">
        <v>96.173</v>
      </c>
      <c r="G12" s="955">
        <v>111.585</v>
      </c>
      <c r="H12" s="955">
        <v>96.078</v>
      </c>
      <c r="I12" s="955">
        <v>121.49</v>
      </c>
      <c r="J12" s="955">
        <v>146.885</v>
      </c>
      <c r="K12" s="955">
        <v>154.385</v>
      </c>
      <c r="L12" s="955">
        <v>159.347</v>
      </c>
      <c r="M12" s="955">
        <v>150.145</v>
      </c>
      <c r="N12" s="955">
        <v>112.201</v>
      </c>
      <c r="O12" s="955">
        <v>153.587</v>
      </c>
      <c r="P12" s="971">
        <v>169.974</v>
      </c>
      <c r="Q12" s="971">
        <v>170.531</v>
      </c>
      <c r="R12" s="971">
        <v>182.201</v>
      </c>
      <c r="S12" s="1006">
        <v>189.051</v>
      </c>
      <c r="T12" s="233" t="s">
        <v>14</v>
      </c>
      <c r="V12" s="328">
        <f t="shared" si="2"/>
        <v>3.759584195476421</v>
      </c>
    </row>
    <row r="13" spans="1:22" ht="12.75" customHeight="1">
      <c r="A13" s="114"/>
      <c r="B13" s="102" t="s">
        <v>63</v>
      </c>
      <c r="C13" s="212">
        <v>3735.987</v>
      </c>
      <c r="D13" s="177">
        <v>3802.176</v>
      </c>
      <c r="E13" s="960">
        <v>3378.343</v>
      </c>
      <c r="F13" s="960">
        <v>3341.718</v>
      </c>
      <c r="G13" s="960">
        <v>3252.898</v>
      </c>
      <c r="H13" s="960">
        <v>3236.938</v>
      </c>
      <c r="I13" s="960">
        <v>3266.825</v>
      </c>
      <c r="J13" s="960">
        <v>3319.259</v>
      </c>
      <c r="K13" s="960">
        <v>3467.961</v>
      </c>
      <c r="L13" s="960">
        <v>3148.163</v>
      </c>
      <c r="M13" s="960">
        <v>3090.04</v>
      </c>
      <c r="N13" s="960">
        <v>3807.175</v>
      </c>
      <c r="O13" s="960">
        <v>2916.259</v>
      </c>
      <c r="P13" s="960">
        <v>3173.634</v>
      </c>
      <c r="Q13" s="960">
        <v>3082.58</v>
      </c>
      <c r="R13" s="960">
        <v>2952.431</v>
      </c>
      <c r="S13" s="966">
        <v>3036.773</v>
      </c>
      <c r="T13" s="269" t="s">
        <v>63</v>
      </c>
      <c r="V13" s="328">
        <f t="shared" si="2"/>
        <v>2.856696735673083</v>
      </c>
    </row>
    <row r="14" spans="1:22" ht="12.75" customHeight="1">
      <c r="A14" s="114"/>
      <c r="B14" s="133" t="s">
        <v>64</v>
      </c>
      <c r="C14" s="331"/>
      <c r="D14" s="176"/>
      <c r="E14" s="955"/>
      <c r="F14" s="955"/>
      <c r="G14" s="955"/>
      <c r="H14" s="955">
        <v>15.602</v>
      </c>
      <c r="I14" s="955">
        <v>16.436</v>
      </c>
      <c r="J14" s="955">
        <v>19.64</v>
      </c>
      <c r="K14" s="955">
        <v>25.363</v>
      </c>
      <c r="L14" s="955">
        <v>30.912</v>
      </c>
      <c r="M14" s="955">
        <v>24.579</v>
      </c>
      <c r="N14" s="955">
        <v>9.946</v>
      </c>
      <c r="O14" s="955">
        <v>10.295</v>
      </c>
      <c r="P14" s="971">
        <v>17.07</v>
      </c>
      <c r="Q14" s="971">
        <v>19.424</v>
      </c>
      <c r="R14" s="971">
        <v>19.5</v>
      </c>
      <c r="S14" s="1006">
        <v>20.861</v>
      </c>
      <c r="T14" s="233" t="s">
        <v>64</v>
      </c>
      <c r="V14" s="328">
        <f t="shared" si="2"/>
        <v>6.97948717948718</v>
      </c>
    </row>
    <row r="15" spans="1:22" ht="12.75" customHeight="1">
      <c r="A15" s="114"/>
      <c r="B15" s="102" t="s">
        <v>68</v>
      </c>
      <c r="C15" s="212">
        <v>145.702</v>
      </c>
      <c r="D15" s="177">
        <v>174.242</v>
      </c>
      <c r="E15" s="960">
        <v>230.795</v>
      </c>
      <c r="F15" s="960">
        <v>164.73</v>
      </c>
      <c r="G15" s="960">
        <v>156.125</v>
      </c>
      <c r="H15" s="960">
        <v>145.223</v>
      </c>
      <c r="I15" s="960">
        <v>154.136</v>
      </c>
      <c r="J15" s="960">
        <v>171.742</v>
      </c>
      <c r="K15" s="960">
        <v>178.484</v>
      </c>
      <c r="L15" s="960">
        <v>186.325</v>
      </c>
      <c r="M15" s="960">
        <v>151.607</v>
      </c>
      <c r="N15" s="960">
        <v>57.453</v>
      </c>
      <c r="O15" s="960">
        <v>88.446</v>
      </c>
      <c r="P15" s="960">
        <v>89.904</v>
      </c>
      <c r="Q15" s="960">
        <v>79.498</v>
      </c>
      <c r="R15" s="960">
        <v>74.367</v>
      </c>
      <c r="S15" s="966">
        <v>96.344</v>
      </c>
      <c r="T15" s="269" t="s">
        <v>68</v>
      </c>
      <c r="V15" s="328">
        <f t="shared" si="2"/>
        <v>29.552086274826195</v>
      </c>
    </row>
    <row r="16" spans="1:22" ht="12.75" customHeight="1">
      <c r="A16" s="114"/>
      <c r="B16" s="133" t="s">
        <v>15</v>
      </c>
      <c r="C16" s="331">
        <v>180.145</v>
      </c>
      <c r="D16" s="176">
        <v>261.711</v>
      </c>
      <c r="E16" s="955">
        <v>290.222</v>
      </c>
      <c r="F16" s="955">
        <v>280.214</v>
      </c>
      <c r="G16" s="955">
        <v>268.489</v>
      </c>
      <c r="H16" s="955">
        <v>257.293</v>
      </c>
      <c r="I16" s="955">
        <v>289.691</v>
      </c>
      <c r="J16" s="955">
        <v>269.728</v>
      </c>
      <c r="K16" s="955">
        <v>267.669</v>
      </c>
      <c r="L16" s="955">
        <v>279.745</v>
      </c>
      <c r="M16" s="955">
        <v>267.295</v>
      </c>
      <c r="N16" s="955">
        <v>219.73</v>
      </c>
      <c r="O16" s="955">
        <v>141.501</v>
      </c>
      <c r="P16" s="971">
        <v>97.68</v>
      </c>
      <c r="Q16" s="971">
        <v>58.479</v>
      </c>
      <c r="R16" s="971">
        <v>58.694</v>
      </c>
      <c r="S16" s="1006">
        <v>71.218</v>
      </c>
      <c r="T16" s="233" t="s">
        <v>15</v>
      </c>
      <c r="V16" s="328">
        <f t="shared" si="2"/>
        <v>21.337785804341152</v>
      </c>
    </row>
    <row r="17" spans="1:22" ht="12.75" customHeight="1">
      <c r="A17" s="114"/>
      <c r="B17" s="102" t="s">
        <v>66</v>
      </c>
      <c r="C17" s="212">
        <v>1192.53</v>
      </c>
      <c r="D17" s="177">
        <v>1406.246</v>
      </c>
      <c r="E17" s="960">
        <v>1381.256</v>
      </c>
      <c r="F17" s="960">
        <v>1425.573</v>
      </c>
      <c r="G17" s="960">
        <v>1331.877</v>
      </c>
      <c r="H17" s="960">
        <v>1382.109</v>
      </c>
      <c r="I17" s="960">
        <v>1517.286</v>
      </c>
      <c r="J17" s="960">
        <v>1528.877</v>
      </c>
      <c r="K17" s="960">
        <v>1634.608</v>
      </c>
      <c r="L17" s="960">
        <v>1614.835</v>
      </c>
      <c r="M17" s="960">
        <v>1161.176</v>
      </c>
      <c r="N17" s="960">
        <v>952.772</v>
      </c>
      <c r="O17" s="960">
        <v>982.015</v>
      </c>
      <c r="P17" s="960">
        <v>808.051</v>
      </c>
      <c r="Q17" s="960">
        <v>699.589</v>
      </c>
      <c r="R17" s="960">
        <v>722.689</v>
      </c>
      <c r="S17" s="966">
        <v>855.308</v>
      </c>
      <c r="T17" s="269" t="s">
        <v>66</v>
      </c>
      <c r="V17" s="328">
        <f t="shared" si="2"/>
        <v>18.350770525080648</v>
      </c>
    </row>
    <row r="18" spans="1:22" ht="12.75" customHeight="1">
      <c r="A18" s="114"/>
      <c r="B18" s="133" t="s">
        <v>67</v>
      </c>
      <c r="C18" s="331">
        <v>1943.553</v>
      </c>
      <c r="D18" s="176">
        <v>2148.423</v>
      </c>
      <c r="E18" s="955">
        <v>2133.884</v>
      </c>
      <c r="F18" s="955">
        <v>2254.732</v>
      </c>
      <c r="G18" s="955">
        <v>2145.071</v>
      </c>
      <c r="H18" s="955">
        <v>2009.246</v>
      </c>
      <c r="I18" s="955">
        <v>2013.709</v>
      </c>
      <c r="J18" s="955">
        <v>2067.789</v>
      </c>
      <c r="K18" s="955">
        <v>2000.549</v>
      </c>
      <c r="L18" s="955">
        <v>2064.543</v>
      </c>
      <c r="M18" s="955">
        <v>2050.282</v>
      </c>
      <c r="N18" s="955">
        <v>2302.398</v>
      </c>
      <c r="O18" s="955">
        <v>2251.669</v>
      </c>
      <c r="P18" s="971">
        <v>2204.229</v>
      </c>
      <c r="Q18" s="971">
        <v>1898.76</v>
      </c>
      <c r="R18" s="971">
        <v>1790.456</v>
      </c>
      <c r="S18" s="1006">
        <v>1795.885</v>
      </c>
      <c r="T18" s="233" t="s">
        <v>67</v>
      </c>
      <c r="V18" s="328">
        <f t="shared" si="2"/>
        <v>0.30321884480825645</v>
      </c>
    </row>
    <row r="19" spans="1:22" ht="12.75" customHeight="1">
      <c r="A19" s="114"/>
      <c r="B19" s="102" t="s">
        <v>148</v>
      </c>
      <c r="C19" s="212"/>
      <c r="D19" s="177"/>
      <c r="E19" s="960">
        <v>92.36</v>
      </c>
      <c r="F19" s="960">
        <v>108.633</v>
      </c>
      <c r="G19" s="960">
        <v>95.21</v>
      </c>
      <c r="H19" s="960">
        <v>104.52</v>
      </c>
      <c r="I19" s="960">
        <v>99.84</v>
      </c>
      <c r="J19" s="960">
        <v>102.123</v>
      </c>
      <c r="K19" s="960">
        <v>114.447</v>
      </c>
      <c r="L19" s="960">
        <v>106.202</v>
      </c>
      <c r="M19" s="960">
        <v>95.697</v>
      </c>
      <c r="N19" s="960">
        <v>53.252</v>
      </c>
      <c r="O19" s="960">
        <v>46.209</v>
      </c>
      <c r="P19" s="960">
        <v>48.883</v>
      </c>
      <c r="Q19" s="960">
        <v>40.825</v>
      </c>
      <c r="R19" s="965">
        <v>27.802</v>
      </c>
      <c r="S19" s="966">
        <v>33.919</v>
      </c>
      <c r="T19" s="269" t="s">
        <v>148</v>
      </c>
      <c r="V19" s="328">
        <f t="shared" si="2"/>
        <v>22.002014243579595</v>
      </c>
    </row>
    <row r="20" spans="1:22" ht="12.75" customHeight="1">
      <c r="A20" s="114"/>
      <c r="B20" s="294" t="s">
        <v>69</v>
      </c>
      <c r="C20" s="479">
        <v>2378.516</v>
      </c>
      <c r="D20" s="332">
        <v>2338.464</v>
      </c>
      <c r="E20" s="971">
        <v>2423.084</v>
      </c>
      <c r="F20" s="971">
        <v>2413.455</v>
      </c>
      <c r="G20" s="971">
        <v>2279.612</v>
      </c>
      <c r="H20" s="971">
        <v>2247.019</v>
      </c>
      <c r="I20" s="971">
        <v>2264.688</v>
      </c>
      <c r="J20" s="971">
        <v>2237.444</v>
      </c>
      <c r="K20" s="971">
        <v>2326.049</v>
      </c>
      <c r="L20" s="971">
        <v>2493.106</v>
      </c>
      <c r="M20" s="971">
        <v>2161.682</v>
      </c>
      <c r="N20" s="971">
        <v>2159.463</v>
      </c>
      <c r="O20" s="971">
        <v>1961.579</v>
      </c>
      <c r="P20" s="971">
        <v>1749.074</v>
      </c>
      <c r="Q20" s="971">
        <v>1402.089</v>
      </c>
      <c r="R20" s="971">
        <v>1304.648</v>
      </c>
      <c r="S20" s="1006">
        <v>1359.616</v>
      </c>
      <c r="T20" s="505" t="s">
        <v>69</v>
      </c>
      <c r="V20" s="328">
        <f t="shared" si="2"/>
        <v>4.213243725510637</v>
      </c>
    </row>
    <row r="21" spans="1:22" ht="12.75" customHeight="1">
      <c r="A21" s="114"/>
      <c r="B21" s="102" t="s">
        <v>71</v>
      </c>
      <c r="C21" s="212"/>
      <c r="D21" s="177"/>
      <c r="E21" s="960">
        <f>7.103+0.051+1.057</f>
        <v>8.211</v>
      </c>
      <c r="F21" s="960">
        <f>7.562+0.117+2.323</f>
        <v>10.002</v>
      </c>
      <c r="G21" s="960">
        <f>7.942+0.065+1.115</f>
        <v>9.122</v>
      </c>
      <c r="H21" s="960">
        <f>7.797+0.12+1.228</f>
        <v>9.145</v>
      </c>
      <c r="I21" s="960">
        <f>18.22+0.055+1.375</f>
        <v>19.65</v>
      </c>
      <c r="J21" s="960">
        <f>17.687+0.09+1.433</f>
        <v>19.21</v>
      </c>
      <c r="K21" s="960">
        <f>18.639+0.076+1.629</f>
        <v>20.344</v>
      </c>
      <c r="L21" s="960">
        <f>22.878+0.087+2.142</f>
        <v>25.107</v>
      </c>
      <c r="M21" s="960">
        <f>22.241+0.044+1.928</f>
        <v>24.213</v>
      </c>
      <c r="N21" s="960">
        <v>15.945</v>
      </c>
      <c r="O21" s="960">
        <v>15.062</v>
      </c>
      <c r="P21" s="960">
        <v>14.665</v>
      </c>
      <c r="Q21" s="960">
        <v>10.967</v>
      </c>
      <c r="R21" s="960">
        <v>7.102</v>
      </c>
      <c r="S21" s="966">
        <v>8.283</v>
      </c>
      <c r="T21" s="269" t="s">
        <v>71</v>
      </c>
      <c r="V21" s="328">
        <f t="shared" si="2"/>
        <v>16.629118558152612</v>
      </c>
    </row>
    <row r="22" spans="1:22" ht="12.75" customHeight="1">
      <c r="A22" s="114"/>
      <c r="B22" s="294" t="s">
        <v>72</v>
      </c>
      <c r="C22" s="479"/>
      <c r="D22" s="332"/>
      <c r="E22" s="971"/>
      <c r="F22" s="971"/>
      <c r="G22" s="971"/>
      <c r="H22" s="971">
        <v>8.713</v>
      </c>
      <c r="I22" s="971">
        <v>11.217</v>
      </c>
      <c r="J22" s="971">
        <v>16.602</v>
      </c>
      <c r="K22" s="971">
        <v>25.582</v>
      </c>
      <c r="L22" s="971">
        <v>32.771</v>
      </c>
      <c r="M22" s="971">
        <v>19.831</v>
      </c>
      <c r="N22" s="971">
        <v>5.367</v>
      </c>
      <c r="O22" s="971">
        <v>6.365</v>
      </c>
      <c r="P22" s="971">
        <v>10.98</v>
      </c>
      <c r="Q22" s="971">
        <v>10.665</v>
      </c>
      <c r="R22" s="971">
        <v>10.636</v>
      </c>
      <c r="S22" s="1006">
        <v>12.452</v>
      </c>
      <c r="T22" s="505" t="s">
        <v>72</v>
      </c>
      <c r="V22" s="328">
        <f t="shared" si="2"/>
        <v>17.074088003008654</v>
      </c>
    </row>
    <row r="23" spans="1:22" ht="12.75" customHeight="1">
      <c r="A23" s="114"/>
      <c r="B23" s="102" t="s">
        <v>73</v>
      </c>
      <c r="C23" s="212"/>
      <c r="D23" s="177"/>
      <c r="E23" s="960"/>
      <c r="F23" s="960"/>
      <c r="G23" s="960"/>
      <c r="H23" s="960">
        <v>7.543</v>
      </c>
      <c r="I23" s="960">
        <v>9.493</v>
      </c>
      <c r="J23" s="960">
        <v>10.467</v>
      </c>
      <c r="K23" s="960">
        <v>14.234</v>
      </c>
      <c r="L23" s="960">
        <v>21.606</v>
      </c>
      <c r="M23" s="960">
        <v>22.217</v>
      </c>
      <c r="N23" s="960">
        <v>7.515</v>
      </c>
      <c r="O23" s="960">
        <v>7.97</v>
      </c>
      <c r="P23" s="960">
        <v>13.234</v>
      </c>
      <c r="Q23" s="960">
        <v>12.165</v>
      </c>
      <c r="R23" s="960">
        <v>12.152</v>
      </c>
      <c r="S23" s="966">
        <v>14.503</v>
      </c>
      <c r="T23" s="269" t="s">
        <v>73</v>
      </c>
      <c r="V23" s="328">
        <f t="shared" si="2"/>
        <v>19.346609611586587</v>
      </c>
    </row>
    <row r="24" spans="1:22" ht="12.75" customHeight="1">
      <c r="A24" s="114"/>
      <c r="B24" s="294" t="s">
        <v>76</v>
      </c>
      <c r="C24" s="479">
        <v>35.928</v>
      </c>
      <c r="D24" s="332">
        <v>40.476</v>
      </c>
      <c r="E24" s="971">
        <v>41.896</v>
      </c>
      <c r="F24" s="971">
        <v>42.833</v>
      </c>
      <c r="G24" s="971">
        <v>43.403</v>
      </c>
      <c r="H24" s="971">
        <v>43.62</v>
      </c>
      <c r="I24" s="971">
        <v>48.234</v>
      </c>
      <c r="J24" s="971">
        <v>48.517</v>
      </c>
      <c r="K24" s="971">
        <v>50.837</v>
      </c>
      <c r="L24" s="971">
        <v>51.332</v>
      </c>
      <c r="M24" s="971">
        <v>52.359</v>
      </c>
      <c r="N24" s="971">
        <v>47.265</v>
      </c>
      <c r="O24" s="971">
        <v>49.726</v>
      </c>
      <c r="P24" s="971">
        <v>49.881</v>
      </c>
      <c r="Q24" s="971">
        <v>53.008</v>
      </c>
      <c r="R24" s="971">
        <v>46.624</v>
      </c>
      <c r="S24" s="1006">
        <v>49.793</v>
      </c>
      <c r="T24" s="505" t="s">
        <v>76</v>
      </c>
      <c r="V24" s="328">
        <f t="shared" si="2"/>
        <v>6.796928620452974</v>
      </c>
    </row>
    <row r="25" spans="1:22" ht="12.75" customHeight="1">
      <c r="A25" s="114"/>
      <c r="B25" s="102" t="s">
        <v>77</v>
      </c>
      <c r="C25" s="212"/>
      <c r="D25" s="177"/>
      <c r="E25" s="960"/>
      <c r="F25" s="960"/>
      <c r="G25" s="960"/>
      <c r="H25" s="960">
        <v>208.426</v>
      </c>
      <c r="I25" s="960">
        <v>207.055</v>
      </c>
      <c r="J25" s="960">
        <v>198.982</v>
      </c>
      <c r="K25" s="960">
        <v>187.676</v>
      </c>
      <c r="L25" s="960">
        <v>171.661</v>
      </c>
      <c r="M25" s="960">
        <v>153.278</v>
      </c>
      <c r="N25" s="960">
        <v>60.189</v>
      </c>
      <c r="O25" s="960">
        <v>43.476</v>
      </c>
      <c r="P25" s="960">
        <v>45.094</v>
      </c>
      <c r="Q25" s="960">
        <v>50.398</v>
      </c>
      <c r="R25" s="960">
        <v>56.14</v>
      </c>
      <c r="S25" s="966">
        <v>67.476</v>
      </c>
      <c r="T25" s="269" t="s">
        <v>77</v>
      </c>
      <c r="V25" s="328">
        <f t="shared" si="2"/>
        <v>20.192376202351255</v>
      </c>
    </row>
    <row r="26" spans="1:22" ht="12.75" customHeight="1">
      <c r="A26" s="114"/>
      <c r="B26" s="294" t="s">
        <v>78</v>
      </c>
      <c r="C26" s="479"/>
      <c r="D26" s="332"/>
      <c r="E26" s="971"/>
      <c r="F26" s="971"/>
      <c r="G26" s="971"/>
      <c r="H26" s="971">
        <f>0.069+6.519+0.634+0.008</f>
        <v>7.23</v>
      </c>
      <c r="I26" s="971">
        <f>0.084+5.398+0.721+0.015</f>
        <v>6.217999999999999</v>
      </c>
      <c r="J26" s="971">
        <f>0.083+5.675+0.778+0.016</f>
        <v>6.552</v>
      </c>
      <c r="K26" s="971">
        <f>0.061+5.862+0.803+0.019</f>
        <v>6.745</v>
      </c>
      <c r="L26" s="971">
        <f>0.075+5.334+0.808+0.023</f>
        <v>6.239999999999999</v>
      </c>
      <c r="M26" s="971">
        <v>5.423</v>
      </c>
      <c r="N26" s="971">
        <v>5.894</v>
      </c>
      <c r="O26" s="971">
        <f>3.907+0.043+0.094+0.012</f>
        <v>4.056</v>
      </c>
      <c r="P26" s="971">
        <f>5.311+0.065+0.052</f>
        <v>5.428</v>
      </c>
      <c r="Q26" s="971">
        <v>5.884</v>
      </c>
      <c r="R26" s="971">
        <v>5.749</v>
      </c>
      <c r="S26" s="1006">
        <v>6.451</v>
      </c>
      <c r="T26" s="505" t="s">
        <v>78</v>
      </c>
      <c r="V26" s="328">
        <f t="shared" si="2"/>
        <v>12.210819272917036</v>
      </c>
    </row>
    <row r="27" spans="1:22" ht="12.75" customHeight="1">
      <c r="A27" s="114"/>
      <c r="B27" s="102" t="s">
        <v>16</v>
      </c>
      <c r="C27" s="212">
        <v>542.978</v>
      </c>
      <c r="D27" s="177">
        <v>611.487</v>
      </c>
      <c r="E27" s="960">
        <v>597.625</v>
      </c>
      <c r="F27" s="960">
        <v>530.231</v>
      </c>
      <c r="G27" s="960">
        <v>510.702</v>
      </c>
      <c r="H27" s="960">
        <v>488.841</v>
      </c>
      <c r="I27" s="960">
        <v>483.745</v>
      </c>
      <c r="J27" s="960">
        <v>465.152</v>
      </c>
      <c r="K27" s="960">
        <v>483.97</v>
      </c>
      <c r="L27" s="960">
        <v>505.538</v>
      </c>
      <c r="M27" s="960">
        <v>499.918</v>
      </c>
      <c r="N27" s="960">
        <v>387.152</v>
      </c>
      <c r="O27" s="960">
        <v>482.567</v>
      </c>
      <c r="P27" s="960">
        <v>555.798</v>
      </c>
      <c r="Q27" s="960">
        <v>502.675</v>
      </c>
      <c r="R27" s="960">
        <v>416.73</v>
      </c>
      <c r="S27" s="966">
        <v>387.835</v>
      </c>
      <c r="T27" s="269" t="s">
        <v>16</v>
      </c>
      <c r="V27" s="328">
        <f t="shared" si="2"/>
        <v>-6.93374607059728</v>
      </c>
    </row>
    <row r="28" spans="1:22" ht="12.75" customHeight="1">
      <c r="A28" s="114"/>
      <c r="B28" s="294" t="s">
        <v>81</v>
      </c>
      <c r="C28" s="479">
        <v>295.865</v>
      </c>
      <c r="D28" s="332">
        <v>314.182</v>
      </c>
      <c r="E28" s="971">
        <v>309.427</v>
      </c>
      <c r="F28" s="971">
        <v>293.528</v>
      </c>
      <c r="G28" s="971">
        <v>279.493</v>
      </c>
      <c r="H28" s="971">
        <v>300.121</v>
      </c>
      <c r="I28" s="971">
        <v>311.292</v>
      </c>
      <c r="J28" s="971">
        <v>307.915</v>
      </c>
      <c r="K28" s="971">
        <v>308.594</v>
      </c>
      <c r="L28" s="971">
        <v>298.182</v>
      </c>
      <c r="M28" s="971">
        <v>293.697</v>
      </c>
      <c r="N28" s="971">
        <v>319.403</v>
      </c>
      <c r="O28" s="971">
        <v>328.563</v>
      </c>
      <c r="P28" s="971">
        <v>356.145</v>
      </c>
      <c r="Q28" s="971">
        <v>336.01</v>
      </c>
      <c r="R28" s="971">
        <v>319.035</v>
      </c>
      <c r="S28" s="1006">
        <v>303.318</v>
      </c>
      <c r="T28" s="505" t="s">
        <v>81</v>
      </c>
      <c r="V28" s="328">
        <f t="shared" si="2"/>
        <v>-4.926418731487161</v>
      </c>
    </row>
    <row r="29" spans="1:22" ht="12.75" customHeight="1">
      <c r="A29" s="114"/>
      <c r="B29" s="102" t="s">
        <v>80</v>
      </c>
      <c r="C29" s="212"/>
      <c r="D29" s="177"/>
      <c r="E29" s="1007"/>
      <c r="F29" s="960"/>
      <c r="G29" s="960"/>
      <c r="H29" s="960">
        <v>358.432</v>
      </c>
      <c r="I29" s="960">
        <v>318.111</v>
      </c>
      <c r="J29" s="960">
        <v>235.522</v>
      </c>
      <c r="K29" s="960">
        <v>238.993</v>
      </c>
      <c r="L29" s="960">
        <v>293.305</v>
      </c>
      <c r="M29" s="960">
        <v>320.04</v>
      </c>
      <c r="N29" s="960">
        <v>320.206</v>
      </c>
      <c r="O29" s="960">
        <v>333.49</v>
      </c>
      <c r="P29" s="960">
        <v>297.937</v>
      </c>
      <c r="Q29" s="960">
        <v>271.215</v>
      </c>
      <c r="R29" s="960">
        <v>288.913</v>
      </c>
      <c r="S29" s="966">
        <v>327.219</v>
      </c>
      <c r="T29" s="269" t="s">
        <v>80</v>
      </c>
      <c r="V29" s="328">
        <f t="shared" si="2"/>
        <v>13.25866264238715</v>
      </c>
    </row>
    <row r="30" spans="1:22" ht="12.75" customHeight="1">
      <c r="A30" s="114"/>
      <c r="B30" s="294" t="s">
        <v>92</v>
      </c>
      <c r="C30" s="479">
        <v>248.398</v>
      </c>
      <c r="D30" s="332">
        <v>272.883</v>
      </c>
      <c r="E30" s="971">
        <v>257.836</v>
      </c>
      <c r="F30" s="971">
        <v>255.21</v>
      </c>
      <c r="G30" s="971">
        <v>226.092</v>
      </c>
      <c r="H30" s="971">
        <v>189.792</v>
      </c>
      <c r="I30" s="971">
        <v>197.645</v>
      </c>
      <c r="J30" s="971">
        <v>206.488</v>
      </c>
      <c r="K30" s="971">
        <v>194.702</v>
      </c>
      <c r="L30" s="971">
        <v>201.816</v>
      </c>
      <c r="M30" s="971">
        <v>213.389</v>
      </c>
      <c r="N30" s="971">
        <v>161.013</v>
      </c>
      <c r="O30" s="971">
        <v>223.464</v>
      </c>
      <c r="P30" s="971">
        <v>153.404</v>
      </c>
      <c r="Q30" s="971">
        <v>95.29</v>
      </c>
      <c r="R30" s="971">
        <v>105.921</v>
      </c>
      <c r="S30" s="1006">
        <v>142.827</v>
      </c>
      <c r="T30" s="505" t="s">
        <v>92</v>
      </c>
      <c r="V30" s="328">
        <f t="shared" si="2"/>
        <v>34.84294899028521</v>
      </c>
    </row>
    <row r="31" spans="1:22" ht="12.75" customHeight="1">
      <c r="A31" s="114"/>
      <c r="B31" s="102" t="s">
        <v>102</v>
      </c>
      <c r="C31" s="212"/>
      <c r="D31" s="177"/>
      <c r="E31" s="960"/>
      <c r="F31" s="960"/>
      <c r="G31" s="960">
        <v>88.8</v>
      </c>
      <c r="H31" s="960">
        <v>106.76</v>
      </c>
      <c r="I31" s="960">
        <v>145.12</v>
      </c>
      <c r="J31" s="960">
        <v>172.5</v>
      </c>
      <c r="K31" s="960">
        <v>256.364</v>
      </c>
      <c r="L31" s="960">
        <v>315.621</v>
      </c>
      <c r="M31" s="960">
        <v>270.995</v>
      </c>
      <c r="N31" s="960">
        <v>130.195</v>
      </c>
      <c r="O31" s="960">
        <v>106.328</v>
      </c>
      <c r="P31" s="960">
        <v>94.619</v>
      </c>
      <c r="Q31" s="960">
        <v>72.148</v>
      </c>
      <c r="R31" s="960">
        <v>57.71</v>
      </c>
      <c r="S31" s="966">
        <v>70.172</v>
      </c>
      <c r="T31" s="269" t="s">
        <v>102</v>
      </c>
      <c r="V31" s="328">
        <f t="shared" si="2"/>
        <v>21.59417778547912</v>
      </c>
    </row>
    <row r="32" spans="1:22" ht="12.75" customHeight="1">
      <c r="A32" s="114"/>
      <c r="B32" s="294" t="s">
        <v>83</v>
      </c>
      <c r="C32" s="479"/>
      <c r="D32" s="332"/>
      <c r="E32" s="971"/>
      <c r="F32" s="971"/>
      <c r="G32" s="971"/>
      <c r="H32" s="971">
        <v>59.548</v>
      </c>
      <c r="I32" s="971">
        <v>62.002</v>
      </c>
      <c r="J32" s="971">
        <v>59.324</v>
      </c>
      <c r="K32" s="971">
        <v>59.578</v>
      </c>
      <c r="L32" s="971">
        <v>68.719</v>
      </c>
      <c r="M32" s="971">
        <v>71.575</v>
      </c>
      <c r="N32" s="971">
        <v>57.967</v>
      </c>
      <c r="O32" s="971">
        <v>61.142</v>
      </c>
      <c r="P32" s="971">
        <v>60.193</v>
      </c>
      <c r="Q32" s="971">
        <v>50.091</v>
      </c>
      <c r="R32" s="971">
        <v>50.878</v>
      </c>
      <c r="S32" s="1006">
        <v>53.296</v>
      </c>
      <c r="T32" s="505" t="s">
        <v>83</v>
      </c>
      <c r="V32" s="328">
        <f t="shared" si="2"/>
        <v>4.75254530445379</v>
      </c>
    </row>
    <row r="33" spans="1:22" ht="12.75" customHeight="1">
      <c r="A33" s="114"/>
      <c r="B33" s="102" t="s">
        <v>85</v>
      </c>
      <c r="C33" s="212"/>
      <c r="D33" s="177"/>
      <c r="E33" s="960"/>
      <c r="F33" s="960"/>
      <c r="G33" s="960"/>
      <c r="H33" s="960">
        <v>59.742</v>
      </c>
      <c r="I33" s="960">
        <v>57.43</v>
      </c>
      <c r="J33" s="960">
        <v>57.125</v>
      </c>
      <c r="K33" s="960">
        <v>59.084</v>
      </c>
      <c r="L33" s="960">
        <v>59.7</v>
      </c>
      <c r="M33" s="960">
        <v>70.04</v>
      </c>
      <c r="N33" s="960">
        <v>74.717</v>
      </c>
      <c r="O33" s="960">
        <v>64.033</v>
      </c>
      <c r="P33" s="960">
        <v>68.254</v>
      </c>
      <c r="Q33" s="960">
        <v>69.195</v>
      </c>
      <c r="R33" s="960">
        <v>66</v>
      </c>
      <c r="S33" s="966">
        <v>72.249</v>
      </c>
      <c r="T33" s="269" t="s">
        <v>85</v>
      </c>
      <c r="V33" s="328">
        <f t="shared" si="2"/>
        <v>9.468181818181804</v>
      </c>
    </row>
    <row r="34" spans="1:22" ht="12.75" customHeight="1">
      <c r="A34" s="114"/>
      <c r="B34" s="294" t="s">
        <v>87</v>
      </c>
      <c r="C34" s="479">
        <v>125.751</v>
      </c>
      <c r="D34" s="332">
        <v>136.324</v>
      </c>
      <c r="E34" s="971">
        <v>134.646</v>
      </c>
      <c r="F34" s="971">
        <v>109.487</v>
      </c>
      <c r="G34" s="971">
        <v>116.877</v>
      </c>
      <c r="H34" s="971">
        <v>147.222</v>
      </c>
      <c r="I34" s="971">
        <v>142.439</v>
      </c>
      <c r="J34" s="971">
        <v>147.949</v>
      </c>
      <c r="K34" s="971">
        <v>145.689</v>
      </c>
      <c r="L34" s="971">
        <v>125.285</v>
      </c>
      <c r="M34" s="971">
        <v>139.611</v>
      </c>
      <c r="N34" s="971">
        <v>88.344</v>
      </c>
      <c r="O34" s="971">
        <v>107.346</v>
      </c>
      <c r="P34" s="971">
        <v>121.171</v>
      </c>
      <c r="Q34" s="971">
        <v>107.166</v>
      </c>
      <c r="R34" s="971">
        <v>103.455</v>
      </c>
      <c r="S34" s="1006">
        <v>106.236</v>
      </c>
      <c r="T34" s="505" t="s">
        <v>87</v>
      </c>
      <c r="V34" s="328">
        <f t="shared" si="2"/>
        <v>2.6881252718573307</v>
      </c>
    </row>
    <row r="35" spans="1:22" ht="12.75" customHeight="1">
      <c r="A35" s="114"/>
      <c r="B35" s="102" t="s">
        <v>88</v>
      </c>
      <c r="C35" s="212">
        <v>253.43</v>
      </c>
      <c r="D35" s="177">
        <v>295.249</v>
      </c>
      <c r="E35" s="960">
        <v>290.529</v>
      </c>
      <c r="F35" s="960">
        <v>246.581</v>
      </c>
      <c r="G35" s="960">
        <v>254.589</v>
      </c>
      <c r="H35" s="960">
        <v>261.206</v>
      </c>
      <c r="I35" s="960">
        <v>264.246</v>
      </c>
      <c r="J35" s="960">
        <v>274.301</v>
      </c>
      <c r="K35" s="960">
        <v>282.766</v>
      </c>
      <c r="L35" s="960">
        <v>306.799</v>
      </c>
      <c r="M35" s="960">
        <v>253.982</v>
      </c>
      <c r="N35" s="960">
        <v>213.408</v>
      </c>
      <c r="O35" s="960">
        <v>289.684</v>
      </c>
      <c r="P35" s="960">
        <v>304.984</v>
      </c>
      <c r="Q35" s="960">
        <v>279.478</v>
      </c>
      <c r="R35" s="960">
        <v>269.558</v>
      </c>
      <c r="S35" s="966">
        <v>303.948</v>
      </c>
      <c r="T35" s="269" t="s">
        <v>88</v>
      </c>
      <c r="V35" s="328">
        <f t="shared" si="2"/>
        <v>12.757922228240304</v>
      </c>
    </row>
    <row r="36" spans="1:22" ht="12.75" customHeight="1">
      <c r="A36" s="114"/>
      <c r="B36" s="477" t="s">
        <v>13</v>
      </c>
      <c r="C36" s="486">
        <v>2247.403</v>
      </c>
      <c r="D36" s="471">
        <v>2197.615</v>
      </c>
      <c r="E36" s="979">
        <v>2221.67</v>
      </c>
      <c r="F36" s="979">
        <v>2458.769</v>
      </c>
      <c r="G36" s="979">
        <v>2563.631</v>
      </c>
      <c r="H36" s="979">
        <v>2579.05</v>
      </c>
      <c r="I36" s="979">
        <v>2567.269</v>
      </c>
      <c r="J36" s="979">
        <v>2439.717</v>
      </c>
      <c r="K36" s="979">
        <v>2344.864</v>
      </c>
      <c r="L36" s="979">
        <v>2404.007</v>
      </c>
      <c r="M36" s="979">
        <v>2131.795</v>
      </c>
      <c r="N36" s="979">
        <v>1994.999</v>
      </c>
      <c r="O36" s="979">
        <v>2030.846</v>
      </c>
      <c r="P36" s="979">
        <v>1941.253</v>
      </c>
      <c r="Q36" s="979">
        <v>2044.609</v>
      </c>
      <c r="R36" s="979">
        <v>2264.737</v>
      </c>
      <c r="S36" s="1008">
        <v>2476.435</v>
      </c>
      <c r="T36" s="508" t="s">
        <v>13</v>
      </c>
      <c r="V36" s="330">
        <f t="shared" si="2"/>
        <v>9.347575457989166</v>
      </c>
    </row>
    <row r="37" spans="1:22" ht="12.75" customHeight="1">
      <c r="A37" s="114"/>
      <c r="B37" s="102" t="s">
        <v>310</v>
      </c>
      <c r="C37" s="212"/>
      <c r="D37" s="177"/>
      <c r="E37" s="960"/>
      <c r="F37" s="960"/>
      <c r="G37" s="960"/>
      <c r="H37" s="960"/>
      <c r="I37" s="960"/>
      <c r="J37" s="960"/>
      <c r="K37" s="960"/>
      <c r="L37" s="960"/>
      <c r="M37" s="960"/>
      <c r="N37" s="960"/>
      <c r="O37" s="960"/>
      <c r="P37" s="960"/>
      <c r="Q37" s="960"/>
      <c r="R37" s="960"/>
      <c r="S37" s="966"/>
      <c r="T37" s="269" t="s">
        <v>310</v>
      </c>
      <c r="V37" s="326"/>
    </row>
    <row r="38" spans="1:22" ht="12.75" customHeight="1">
      <c r="A38" s="114"/>
      <c r="B38" s="294" t="s">
        <v>244</v>
      </c>
      <c r="C38" s="479">
        <v>85.893</v>
      </c>
      <c r="D38" s="332">
        <v>89.665</v>
      </c>
      <c r="E38" s="971"/>
      <c r="F38" s="971"/>
      <c r="G38" s="971"/>
      <c r="H38" s="971"/>
      <c r="I38" s="971"/>
      <c r="J38" s="971"/>
      <c r="K38" s="971"/>
      <c r="L38" s="971"/>
      <c r="M38" s="971"/>
      <c r="N38" s="971"/>
      <c r="O38" s="971">
        <v>8.608</v>
      </c>
      <c r="P38" s="971">
        <v>10.26</v>
      </c>
      <c r="Q38" s="971">
        <v>11.173</v>
      </c>
      <c r="R38" s="971">
        <v>12.417</v>
      </c>
      <c r="S38" s="1006">
        <f>2.555+3.717+3.369+3.407</f>
        <v>13.048</v>
      </c>
      <c r="T38" s="505" t="s">
        <v>244</v>
      </c>
      <c r="V38" s="328">
        <f t="shared" si="2"/>
        <v>5.081742772006123</v>
      </c>
    </row>
    <row r="39" spans="1:22" ht="12.75" customHeight="1">
      <c r="A39" s="114"/>
      <c r="B39" s="102" t="s">
        <v>149</v>
      </c>
      <c r="C39" s="212"/>
      <c r="D39" s="177"/>
      <c r="E39" s="960"/>
      <c r="F39" s="960"/>
      <c r="G39" s="960"/>
      <c r="H39" s="960"/>
      <c r="I39" s="960"/>
      <c r="J39" s="960">
        <v>15.894</v>
      </c>
      <c r="K39" s="960">
        <v>12.45</v>
      </c>
      <c r="L39" s="960">
        <v>16.914</v>
      </c>
      <c r="M39" s="960">
        <v>17.914</v>
      </c>
      <c r="N39" s="960">
        <v>13.113</v>
      </c>
      <c r="O39" s="960">
        <v>49.291</v>
      </c>
      <c r="P39" s="960">
        <v>40.09</v>
      </c>
      <c r="Q39" s="960">
        <v>32.87</v>
      </c>
      <c r="R39" s="960">
        <v>31.927</v>
      </c>
      <c r="S39" s="1009">
        <f>AVERAGE(Q39:R39)</f>
        <v>32.3985</v>
      </c>
      <c r="T39" s="269" t="s">
        <v>149</v>
      </c>
      <c r="V39" s="328">
        <f t="shared" si="2"/>
        <v>1.4768064647477104</v>
      </c>
    </row>
    <row r="40" spans="1:22" ht="12.75" customHeight="1">
      <c r="A40" s="114"/>
      <c r="B40" s="294" t="s">
        <v>245</v>
      </c>
      <c r="C40" s="479"/>
      <c r="D40" s="332"/>
      <c r="E40" s="971"/>
      <c r="F40" s="971"/>
      <c r="G40" s="971"/>
      <c r="H40" s="971"/>
      <c r="I40" s="971"/>
      <c r="J40" s="971"/>
      <c r="K40" s="971"/>
      <c r="L40" s="971"/>
      <c r="M40" s="971"/>
      <c r="N40" s="971"/>
      <c r="O40" s="971"/>
      <c r="P40" s="971"/>
      <c r="Q40" s="971">
        <f>129.168</f>
        <v>129.168</v>
      </c>
      <c r="R40" s="971">
        <f>30.784+38.47+36.359+33.9</f>
        <v>139.513</v>
      </c>
      <c r="S40" s="1006">
        <v>82.549</v>
      </c>
      <c r="T40" s="505" t="s">
        <v>245</v>
      </c>
      <c r="V40" s="328">
        <f t="shared" si="2"/>
        <v>-40.83060359966455</v>
      </c>
    </row>
    <row r="41" spans="1:22" ht="12.75" customHeight="1">
      <c r="A41" s="114"/>
      <c r="B41" s="103" t="s">
        <v>150</v>
      </c>
      <c r="C41" s="1010"/>
      <c r="D41" s="1011"/>
      <c r="E41" s="1012"/>
      <c r="F41" s="1012"/>
      <c r="G41" s="984">
        <v>70.191</v>
      </c>
      <c r="H41" s="984">
        <v>176.217</v>
      </c>
      <c r="I41" s="984">
        <v>432.728</v>
      </c>
      <c r="J41" s="984">
        <v>406.807</v>
      </c>
      <c r="K41" s="984">
        <v>396.542</v>
      </c>
      <c r="L41" s="984">
        <v>353.495</v>
      </c>
      <c r="M41" s="984">
        <v>353.168</v>
      </c>
      <c r="N41" s="984">
        <v>357.986</v>
      </c>
      <c r="O41" s="984">
        <v>485.619</v>
      </c>
      <c r="P41" s="984">
        <v>602.248</v>
      </c>
      <c r="Q41" s="984">
        <v>565.791</v>
      </c>
      <c r="R41" s="984">
        <v>668.287</v>
      </c>
      <c r="S41" s="1013">
        <v>589.051</v>
      </c>
      <c r="T41" s="276" t="s">
        <v>150</v>
      </c>
      <c r="V41" s="330">
        <f t="shared" si="2"/>
        <v>-11.856582576048908</v>
      </c>
    </row>
    <row r="42" spans="1:22" ht="12.75" customHeight="1">
      <c r="A42" s="114"/>
      <c r="B42" s="102" t="s">
        <v>151</v>
      </c>
      <c r="C42" s="212">
        <v>13.569</v>
      </c>
      <c r="D42" s="177">
        <v>15.377</v>
      </c>
      <c r="E42" s="960">
        <v>13.569</v>
      </c>
      <c r="F42" s="960">
        <v>7.245</v>
      </c>
      <c r="G42" s="960">
        <v>6.943</v>
      </c>
      <c r="H42" s="960">
        <v>9.885</v>
      </c>
      <c r="I42" s="960">
        <v>11.968</v>
      </c>
      <c r="J42" s="960">
        <v>18.06</v>
      </c>
      <c r="K42" s="960">
        <v>17.129</v>
      </c>
      <c r="L42" s="960">
        <v>15.942</v>
      </c>
      <c r="M42" s="960">
        <v>9.033</v>
      </c>
      <c r="N42" s="960">
        <v>2.113</v>
      </c>
      <c r="O42" s="960">
        <v>3.106</v>
      </c>
      <c r="P42" s="960">
        <v>5.038</v>
      </c>
      <c r="Q42" s="960">
        <v>7.93</v>
      </c>
      <c r="R42" s="960">
        <v>7.274</v>
      </c>
      <c r="S42" s="966">
        <v>9.536</v>
      </c>
      <c r="T42" s="269" t="s">
        <v>151</v>
      </c>
      <c r="V42" s="326">
        <f t="shared" si="2"/>
        <v>31.09705801484739</v>
      </c>
    </row>
    <row r="43" spans="1:22" ht="12.75" customHeight="1">
      <c r="A43" s="114"/>
      <c r="B43" s="294" t="s">
        <v>152</v>
      </c>
      <c r="C43" s="479">
        <v>117.977</v>
      </c>
      <c r="D43" s="332">
        <v>101.278</v>
      </c>
      <c r="E43" s="971">
        <v>97.376</v>
      </c>
      <c r="F43" s="971">
        <v>91.916</v>
      </c>
      <c r="G43" s="971">
        <v>88.721</v>
      </c>
      <c r="H43" s="971">
        <v>89.921</v>
      </c>
      <c r="I43" s="971">
        <v>115.645</v>
      </c>
      <c r="J43" s="971">
        <v>109.907</v>
      </c>
      <c r="K43" s="971">
        <v>109.164</v>
      </c>
      <c r="L43" s="971">
        <v>129.195</v>
      </c>
      <c r="M43" s="971">
        <v>110.617</v>
      </c>
      <c r="N43" s="971">
        <v>98.675</v>
      </c>
      <c r="O43" s="971">
        <v>127.754</v>
      </c>
      <c r="P43" s="971">
        <v>138.345</v>
      </c>
      <c r="Q43" s="971">
        <v>137.967</v>
      </c>
      <c r="R43" s="971">
        <v>142.151</v>
      </c>
      <c r="S43" s="1006">
        <v>144.202</v>
      </c>
      <c r="T43" s="505" t="s">
        <v>152</v>
      </c>
      <c r="V43" s="328">
        <f t="shared" si="2"/>
        <v>1.442831918171521</v>
      </c>
    </row>
    <row r="44" spans="1:22" ht="12.75" customHeight="1">
      <c r="A44" s="114"/>
      <c r="B44" s="103" t="s">
        <v>153</v>
      </c>
      <c r="C44" s="334">
        <v>296.945</v>
      </c>
      <c r="D44" s="335">
        <v>316.876</v>
      </c>
      <c r="E44" s="984">
        <v>316.519</v>
      </c>
      <c r="F44" s="984">
        <v>316.641</v>
      </c>
      <c r="G44" s="984">
        <v>295.065</v>
      </c>
      <c r="H44" s="984">
        <v>270.309</v>
      </c>
      <c r="I44" s="984">
        <v>269.385</v>
      </c>
      <c r="J44" s="984">
        <v>264.941</v>
      </c>
      <c r="K44" s="984">
        <v>269.452</v>
      </c>
      <c r="L44" s="984">
        <v>284.688</v>
      </c>
      <c r="M44" s="984">
        <v>288.557</v>
      </c>
      <c r="N44" s="984">
        <v>266.049</v>
      </c>
      <c r="O44" s="984">
        <v>292.453</v>
      </c>
      <c r="P44" s="984">
        <v>316.846</v>
      </c>
      <c r="Q44" s="984">
        <v>326.081</v>
      </c>
      <c r="R44" s="984">
        <v>307.885</v>
      </c>
      <c r="S44" s="1013">
        <v>301.942</v>
      </c>
      <c r="T44" s="276" t="s">
        <v>153</v>
      </c>
      <c r="V44" s="330">
        <f t="shared" si="2"/>
        <v>-1.9302661708105262</v>
      </c>
    </row>
    <row r="45" spans="2:20" ht="24.75" customHeight="1">
      <c r="B45" s="1132" t="s">
        <v>284</v>
      </c>
      <c r="C45" s="1132"/>
      <c r="D45" s="1132"/>
      <c r="E45" s="1132"/>
      <c r="F45" s="1132"/>
      <c r="G45" s="1132"/>
      <c r="H45" s="1132"/>
      <c r="I45" s="1132"/>
      <c r="J45" s="1132"/>
      <c r="K45" s="1132"/>
      <c r="L45" s="1132"/>
      <c r="M45" s="1132"/>
      <c r="N45" s="1132"/>
      <c r="O45" s="1132"/>
      <c r="P45" s="1132"/>
      <c r="Q45" s="1132"/>
      <c r="R45" s="1132"/>
      <c r="S45" s="156"/>
      <c r="T45" s="156"/>
    </row>
    <row r="46" ht="22.5" customHeight="1">
      <c r="B46" s="118" t="s">
        <v>336</v>
      </c>
    </row>
    <row r="47" ht="12.75" customHeight="1">
      <c r="E47" s="217"/>
    </row>
    <row r="48" ht="12.75" customHeight="1" hidden="1"/>
  </sheetData>
  <sheetProtection/>
  <mergeCells count="3">
    <mergeCell ref="B2:R2"/>
    <mergeCell ref="B3:R3"/>
    <mergeCell ref="B45:R4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00"/>
  </sheetPr>
  <dimension ref="A1:AF46"/>
  <sheetViews>
    <sheetView zoomScalePageLayoutView="0" workbookViewId="0" topLeftCell="A1">
      <selection activeCell="R20" sqref="R20"/>
    </sheetView>
  </sheetViews>
  <sheetFormatPr defaultColWidth="9.140625" defaultRowHeight="12.75"/>
  <cols>
    <col min="1" max="1" width="2.7109375" style="0" customWidth="1"/>
    <col min="2" max="2" width="5.8515625" style="0" customWidth="1"/>
    <col min="3" max="4" width="6.28125" style="0" hidden="1" customWidth="1"/>
    <col min="5" max="5" width="6.140625" style="0" customWidth="1"/>
    <col min="6" max="19" width="6.28125" style="0" customWidth="1"/>
    <col min="20" max="20" width="6.8515625" style="0" customWidth="1"/>
    <col min="21" max="30" width="6.28125" style="0" customWidth="1"/>
    <col min="31" max="31" width="4.7109375" style="0" customWidth="1"/>
  </cols>
  <sheetData>
    <row r="1" spans="2:31" ht="15.75">
      <c r="B1" s="121"/>
      <c r="C1" s="95"/>
      <c r="D1" s="95"/>
      <c r="E1" s="95"/>
      <c r="F1" s="95"/>
      <c r="G1" s="96"/>
      <c r="H1" s="96"/>
      <c r="I1" s="96"/>
      <c r="J1" s="96"/>
      <c r="K1" s="96"/>
      <c r="AE1" s="97" t="s">
        <v>141</v>
      </c>
    </row>
    <row r="2" spans="2:31" ht="24.75" customHeight="1">
      <c r="B2" s="1080" t="s">
        <v>166</v>
      </c>
      <c r="C2" s="1080"/>
      <c r="D2" s="1080"/>
      <c r="E2" s="1080"/>
      <c r="F2" s="1080"/>
      <c r="G2" s="1080"/>
      <c r="H2" s="1080"/>
      <c r="I2" s="1080"/>
      <c r="J2" s="1080"/>
      <c r="K2" s="1080"/>
      <c r="L2" s="1080"/>
      <c r="M2" s="1133"/>
      <c r="N2" s="1133"/>
      <c r="O2" s="1133"/>
      <c r="P2" s="1133"/>
      <c r="Q2" s="1133"/>
      <c r="R2" s="1133"/>
      <c r="S2" s="1133"/>
      <c r="T2" s="1133"/>
      <c r="U2" s="1133"/>
      <c r="V2" s="1133"/>
      <c r="W2" s="1133"/>
      <c r="X2" s="1133"/>
      <c r="Y2" s="1133"/>
      <c r="Z2" s="1133"/>
      <c r="AA2" s="1133"/>
      <c r="AB2" s="1133"/>
      <c r="AC2" s="1133"/>
      <c r="AD2" s="1133"/>
      <c r="AE2" s="1133"/>
    </row>
    <row r="3" spans="2:31" ht="18.75">
      <c r="B3" s="98"/>
      <c r="C3" s="100">
        <v>1970</v>
      </c>
      <c r="D3" s="99">
        <v>1980</v>
      </c>
      <c r="E3" s="100">
        <v>1990</v>
      </c>
      <c r="F3" s="101">
        <v>1991</v>
      </c>
      <c r="G3" s="101">
        <v>1992</v>
      </c>
      <c r="H3" s="101">
        <v>1993</v>
      </c>
      <c r="I3" s="101">
        <v>1994</v>
      </c>
      <c r="J3" s="101">
        <v>1995</v>
      </c>
      <c r="K3" s="101">
        <v>1996</v>
      </c>
      <c r="L3" s="101">
        <v>1997</v>
      </c>
      <c r="M3" s="101">
        <v>1998</v>
      </c>
      <c r="N3" s="101">
        <v>1999</v>
      </c>
      <c r="O3" s="101">
        <v>2000</v>
      </c>
      <c r="P3" s="101">
        <v>2001</v>
      </c>
      <c r="Q3" s="101">
        <v>2002</v>
      </c>
      <c r="R3" s="101">
        <v>2003</v>
      </c>
      <c r="S3" s="101">
        <v>2004</v>
      </c>
      <c r="T3" s="101">
        <v>2005</v>
      </c>
      <c r="U3" s="101">
        <v>2006</v>
      </c>
      <c r="V3" s="101">
        <v>2007</v>
      </c>
      <c r="W3" s="101">
        <v>2008</v>
      </c>
      <c r="X3" s="101">
        <v>2009</v>
      </c>
      <c r="Y3" s="101">
        <v>2010</v>
      </c>
      <c r="Z3" s="101">
        <v>2011</v>
      </c>
      <c r="AA3" s="101">
        <v>2012</v>
      </c>
      <c r="AB3" s="101">
        <v>2013</v>
      </c>
      <c r="AC3" s="122" t="s">
        <v>314</v>
      </c>
      <c r="AD3" s="122" t="s">
        <v>337</v>
      </c>
      <c r="AE3" s="123"/>
    </row>
    <row r="4" spans="2:31" ht="12.75">
      <c r="B4" s="124"/>
      <c r="C4" s="125"/>
      <c r="D4" s="126"/>
      <c r="E4" s="125"/>
      <c r="F4" s="127"/>
      <c r="G4" s="127"/>
      <c r="H4" s="127"/>
      <c r="I4" s="127"/>
      <c r="J4" s="127"/>
      <c r="K4" s="127"/>
      <c r="L4" s="127"/>
      <c r="M4" s="127"/>
      <c r="N4" s="127"/>
      <c r="O4" s="127"/>
      <c r="P4" s="127"/>
      <c r="Q4" s="127"/>
      <c r="R4" s="127"/>
      <c r="S4" s="127"/>
      <c r="T4" s="127"/>
      <c r="U4" s="127"/>
      <c r="V4" s="127"/>
      <c r="W4" s="127"/>
      <c r="X4" s="127"/>
      <c r="Y4" s="127"/>
      <c r="Z4" s="127"/>
      <c r="AA4" s="127"/>
      <c r="AB4" s="127"/>
      <c r="AC4" s="128" t="s">
        <v>147</v>
      </c>
      <c r="AD4" s="128" t="s">
        <v>147</v>
      </c>
      <c r="AE4" s="123"/>
    </row>
    <row r="5" spans="2:31" ht="12.75">
      <c r="B5" s="129" t="s">
        <v>260</v>
      </c>
      <c r="C5" s="130"/>
      <c r="D5" s="131"/>
      <c r="E5" s="1014">
        <f>SUM(E8:E35)</f>
        <v>77337</v>
      </c>
      <c r="F5" s="1015">
        <f aca="true" t="shared" si="0" ref="F5:AB5">SUM(F8:F35)</f>
        <v>75346</v>
      </c>
      <c r="G5" s="1015">
        <f t="shared" si="0"/>
        <v>70674</v>
      </c>
      <c r="H5" s="1015">
        <f t="shared" si="0"/>
        <v>65441</v>
      </c>
      <c r="I5" s="1015">
        <f t="shared" si="0"/>
        <v>63903</v>
      </c>
      <c r="J5" s="1015">
        <f t="shared" si="0"/>
        <v>63955</v>
      </c>
      <c r="K5" s="1015">
        <f t="shared" si="0"/>
        <v>59401</v>
      </c>
      <c r="L5" s="1015">
        <f t="shared" si="0"/>
        <v>60267</v>
      </c>
      <c r="M5" s="1015">
        <f t="shared" si="0"/>
        <v>58982</v>
      </c>
      <c r="N5" s="1015">
        <f t="shared" si="0"/>
        <v>58390</v>
      </c>
      <c r="O5" s="1015">
        <f t="shared" si="0"/>
        <v>57082</v>
      </c>
      <c r="P5" s="1015">
        <f t="shared" si="0"/>
        <v>54949</v>
      </c>
      <c r="Q5" s="1015">
        <f t="shared" si="0"/>
        <v>53969</v>
      </c>
      <c r="R5" s="1015">
        <f t="shared" si="0"/>
        <v>51052.44</v>
      </c>
      <c r="S5" s="1015">
        <f t="shared" si="0"/>
        <v>47898</v>
      </c>
      <c r="T5" s="1015">
        <f t="shared" si="0"/>
        <v>45943</v>
      </c>
      <c r="U5" s="1015">
        <f t="shared" si="0"/>
        <v>43718</v>
      </c>
      <c r="V5" s="1015">
        <f t="shared" si="0"/>
        <v>43158.56</v>
      </c>
      <c r="W5" s="1015">
        <f t="shared" si="0"/>
        <v>39598.64</v>
      </c>
      <c r="X5" s="1015">
        <f t="shared" si="0"/>
        <v>35361</v>
      </c>
      <c r="Y5" s="1015">
        <f t="shared" si="0"/>
        <v>31490</v>
      </c>
      <c r="Z5" s="1015">
        <f t="shared" si="0"/>
        <v>30694</v>
      </c>
      <c r="AA5" s="1015">
        <f t="shared" si="0"/>
        <v>28143</v>
      </c>
      <c r="AB5" s="1016">
        <f t="shared" si="0"/>
        <v>25938</v>
      </c>
      <c r="AC5" s="132">
        <f>AB5/AA5*100-100</f>
        <v>-7.834985609210108</v>
      </c>
      <c r="AD5" s="132">
        <f>AB5/P5*100-100</f>
        <v>-52.79622923074123</v>
      </c>
      <c r="AE5" s="129" t="s">
        <v>260</v>
      </c>
    </row>
    <row r="6" spans="2:31" ht="12.75">
      <c r="B6" s="133" t="s">
        <v>89</v>
      </c>
      <c r="C6" s="535">
        <f>SUM(C8,C11:C12,C14:C19,C23,C26:C27,C29,C33:C35)</f>
        <v>77831</v>
      </c>
      <c r="D6" s="536">
        <f>SUM(D8,D11:D12,D14:D19,D23,D26:D27,D29,D33:D35)</f>
        <v>64237</v>
      </c>
      <c r="E6" s="1017">
        <f>SUM(E8,E11:E12,E14:E17,E23,E26:E27,E29,E33:E35,E19)</f>
        <v>55888</v>
      </c>
      <c r="F6" s="1016">
        <f aca="true" t="shared" si="1" ref="F6:AB6">SUM(F8,F11:F12,F14:F17,F23,F26:F27,F29,F33:F35,F19)</f>
        <v>56027</v>
      </c>
      <c r="G6" s="1016">
        <f t="shared" si="1"/>
        <v>52775</v>
      </c>
      <c r="H6" s="1016">
        <f t="shared" si="1"/>
        <v>48556</v>
      </c>
      <c r="I6" s="1016">
        <f t="shared" si="1"/>
        <v>46513</v>
      </c>
      <c r="J6" s="1016">
        <f t="shared" si="1"/>
        <v>46098</v>
      </c>
      <c r="K6" s="1016">
        <f t="shared" si="1"/>
        <v>43625</v>
      </c>
      <c r="L6" s="1016">
        <f t="shared" si="1"/>
        <v>43314</v>
      </c>
      <c r="M6" s="1016">
        <f t="shared" si="1"/>
        <v>42344</v>
      </c>
      <c r="N6" s="1016">
        <f t="shared" si="1"/>
        <v>41955</v>
      </c>
      <c r="O6" s="1016">
        <f t="shared" si="1"/>
        <v>41421</v>
      </c>
      <c r="P6" s="1016">
        <f t="shared" si="1"/>
        <v>40266</v>
      </c>
      <c r="Q6" s="1016">
        <f t="shared" si="1"/>
        <v>38819</v>
      </c>
      <c r="R6" s="1016">
        <f t="shared" si="1"/>
        <v>36342</v>
      </c>
      <c r="S6" s="1016">
        <f t="shared" si="1"/>
        <v>33070</v>
      </c>
      <c r="T6" s="1016">
        <f t="shared" si="1"/>
        <v>31384</v>
      </c>
      <c r="U6" s="1016">
        <f t="shared" si="1"/>
        <v>29521</v>
      </c>
      <c r="V6" s="1016">
        <f t="shared" si="1"/>
        <v>28279.56</v>
      </c>
      <c r="W6" s="1016">
        <f t="shared" si="1"/>
        <v>25423.64</v>
      </c>
      <c r="X6" s="1016">
        <f t="shared" si="1"/>
        <v>23456</v>
      </c>
      <c r="Y6" s="1016">
        <f t="shared" si="1"/>
        <v>21299</v>
      </c>
      <c r="Z6" s="1016">
        <f t="shared" si="1"/>
        <v>20865</v>
      </c>
      <c r="AA6" s="1016">
        <f t="shared" si="1"/>
        <v>19083</v>
      </c>
      <c r="AB6" s="1016">
        <f t="shared" si="1"/>
        <v>17551</v>
      </c>
      <c r="AC6" s="132">
        <f aca="true" t="shared" si="2" ref="AC6:AC43">AB6/AA6*100-100</f>
        <v>-8.028087826861608</v>
      </c>
      <c r="AD6" s="132">
        <f aca="true" t="shared" si="3" ref="AD6:AD43">AB6/P6*100-100</f>
        <v>-56.41235782049372</v>
      </c>
      <c r="AE6" s="133" t="s">
        <v>89</v>
      </c>
    </row>
    <row r="7" spans="2:31" ht="12.75">
      <c r="B7" s="134" t="s">
        <v>261</v>
      </c>
      <c r="C7" s="135"/>
      <c r="D7" s="136"/>
      <c r="E7" s="1018">
        <f>E5-E6</f>
        <v>21449</v>
      </c>
      <c r="F7" s="1019">
        <f aca="true" t="shared" si="4" ref="F7:AB7">F5-F6</f>
        <v>19319</v>
      </c>
      <c r="G7" s="1019">
        <f t="shared" si="4"/>
        <v>17899</v>
      </c>
      <c r="H7" s="1019">
        <f t="shared" si="4"/>
        <v>16885</v>
      </c>
      <c r="I7" s="1019">
        <f t="shared" si="4"/>
        <v>17390</v>
      </c>
      <c r="J7" s="1019">
        <f t="shared" si="4"/>
        <v>17857</v>
      </c>
      <c r="K7" s="1019">
        <f t="shared" si="4"/>
        <v>15776</v>
      </c>
      <c r="L7" s="1019">
        <f t="shared" si="4"/>
        <v>16953</v>
      </c>
      <c r="M7" s="1019">
        <f t="shared" si="4"/>
        <v>16638</v>
      </c>
      <c r="N7" s="1019">
        <f t="shared" si="4"/>
        <v>16435</v>
      </c>
      <c r="O7" s="1019">
        <f t="shared" si="4"/>
        <v>15661</v>
      </c>
      <c r="P7" s="1019">
        <f t="shared" si="4"/>
        <v>14683</v>
      </c>
      <c r="Q7" s="1019">
        <f t="shared" si="4"/>
        <v>15150</v>
      </c>
      <c r="R7" s="1019">
        <f t="shared" si="4"/>
        <v>14710.440000000002</v>
      </c>
      <c r="S7" s="1019">
        <f t="shared" si="4"/>
        <v>14828</v>
      </c>
      <c r="T7" s="1019">
        <f t="shared" si="4"/>
        <v>14559</v>
      </c>
      <c r="U7" s="1019">
        <f t="shared" si="4"/>
        <v>14197</v>
      </c>
      <c r="V7" s="1019">
        <f t="shared" si="4"/>
        <v>14878.999999999996</v>
      </c>
      <c r="W7" s="1019">
        <f t="shared" si="4"/>
        <v>14175</v>
      </c>
      <c r="X7" s="1019">
        <f t="shared" si="4"/>
        <v>11905</v>
      </c>
      <c r="Y7" s="1019">
        <f t="shared" si="4"/>
        <v>10191</v>
      </c>
      <c r="Z7" s="1019">
        <f t="shared" si="4"/>
        <v>9829</v>
      </c>
      <c r="AA7" s="1019">
        <f t="shared" si="4"/>
        <v>9060</v>
      </c>
      <c r="AB7" s="1019">
        <f t="shared" si="4"/>
        <v>8387</v>
      </c>
      <c r="AC7" s="137">
        <f t="shared" si="2"/>
        <v>-7.428256070640174</v>
      </c>
      <c r="AD7" s="137">
        <f t="shared" si="3"/>
        <v>-42.87952053395083</v>
      </c>
      <c r="AE7" s="134" t="s">
        <v>261</v>
      </c>
    </row>
    <row r="8" spans="1:31" ht="12.75">
      <c r="A8" s="114"/>
      <c r="B8" s="104" t="s">
        <v>60</v>
      </c>
      <c r="C8" s="138">
        <v>2950</v>
      </c>
      <c r="D8" s="1020">
        <v>2396</v>
      </c>
      <c r="E8" s="1021">
        <v>1976</v>
      </c>
      <c r="F8" s="1022">
        <v>1873</v>
      </c>
      <c r="G8" s="1022">
        <v>1671</v>
      </c>
      <c r="H8" s="1022">
        <v>1660</v>
      </c>
      <c r="I8" s="1022">
        <v>1692</v>
      </c>
      <c r="J8" s="1022">
        <v>1449</v>
      </c>
      <c r="K8" s="1022">
        <v>1356</v>
      </c>
      <c r="L8" s="1022">
        <v>1364</v>
      </c>
      <c r="M8" s="1022">
        <v>1500</v>
      </c>
      <c r="N8" s="1022">
        <v>1397</v>
      </c>
      <c r="O8" s="1022">
        <v>1470</v>
      </c>
      <c r="P8" s="1022">
        <v>1486</v>
      </c>
      <c r="Q8" s="1022">
        <v>1306</v>
      </c>
      <c r="R8" s="1022">
        <v>1214</v>
      </c>
      <c r="S8" s="1022">
        <v>1162</v>
      </c>
      <c r="T8" s="1022">
        <v>1089</v>
      </c>
      <c r="U8" s="1023">
        <v>1069</v>
      </c>
      <c r="V8" s="1023">
        <v>1071</v>
      </c>
      <c r="W8" s="1024">
        <v>944</v>
      </c>
      <c r="X8" s="1024">
        <v>944</v>
      </c>
      <c r="Y8" s="1024">
        <v>840</v>
      </c>
      <c r="Z8" s="1024">
        <v>862</v>
      </c>
      <c r="AA8" s="1024">
        <v>770</v>
      </c>
      <c r="AB8" s="1024">
        <v>723</v>
      </c>
      <c r="AC8" s="139">
        <f t="shared" si="2"/>
        <v>-6.103896103896105</v>
      </c>
      <c r="AD8" s="139">
        <f t="shared" si="3"/>
        <v>-51.34589502018842</v>
      </c>
      <c r="AE8" s="104" t="s">
        <v>60</v>
      </c>
    </row>
    <row r="9" spans="1:31" ht="12.75">
      <c r="A9" s="114"/>
      <c r="B9" s="133" t="s">
        <v>101</v>
      </c>
      <c r="C9" s="142"/>
      <c r="D9" s="143"/>
      <c r="E9" s="1025">
        <v>1567</v>
      </c>
      <c r="F9" s="1026">
        <v>1114</v>
      </c>
      <c r="G9" s="1026">
        <v>1299</v>
      </c>
      <c r="H9" s="1026">
        <v>1307</v>
      </c>
      <c r="I9" s="1026">
        <v>1390</v>
      </c>
      <c r="J9" s="1026">
        <v>1264</v>
      </c>
      <c r="K9" s="1026">
        <v>1014</v>
      </c>
      <c r="L9" s="1026">
        <v>915</v>
      </c>
      <c r="M9" s="1026">
        <v>1003</v>
      </c>
      <c r="N9" s="1026">
        <v>1047</v>
      </c>
      <c r="O9" s="1026">
        <v>1012</v>
      </c>
      <c r="P9" s="1026">
        <v>1011</v>
      </c>
      <c r="Q9" s="1026">
        <v>959</v>
      </c>
      <c r="R9" s="1026">
        <v>960</v>
      </c>
      <c r="S9" s="1026">
        <v>943</v>
      </c>
      <c r="T9" s="1026">
        <v>957</v>
      </c>
      <c r="U9" s="1026">
        <v>1043</v>
      </c>
      <c r="V9" s="1026">
        <v>1006</v>
      </c>
      <c r="W9" s="1026">
        <v>1061</v>
      </c>
      <c r="X9" s="1026">
        <v>901</v>
      </c>
      <c r="Y9" s="1026">
        <v>776</v>
      </c>
      <c r="Z9" s="1026">
        <v>657</v>
      </c>
      <c r="AA9" s="1026">
        <v>601</v>
      </c>
      <c r="AB9" s="1026">
        <v>601</v>
      </c>
      <c r="AC9" s="146">
        <f t="shared" si="2"/>
        <v>0</v>
      </c>
      <c r="AD9" s="146">
        <f t="shared" si="3"/>
        <v>-40.553907022749755</v>
      </c>
      <c r="AE9" s="133" t="s">
        <v>101</v>
      </c>
    </row>
    <row r="10" spans="1:31" ht="12.75">
      <c r="A10" s="114"/>
      <c r="B10" s="102" t="s">
        <v>61</v>
      </c>
      <c r="C10" s="148"/>
      <c r="D10" s="149"/>
      <c r="E10" s="1027">
        <v>1291</v>
      </c>
      <c r="F10" s="1028">
        <v>1331</v>
      </c>
      <c r="G10" s="1028">
        <v>1571</v>
      </c>
      <c r="H10" s="1028">
        <v>1524</v>
      </c>
      <c r="I10" s="1028">
        <v>1637</v>
      </c>
      <c r="J10" s="1028">
        <v>1588</v>
      </c>
      <c r="K10" s="1029">
        <v>1562</v>
      </c>
      <c r="L10" s="1029">
        <v>1597</v>
      </c>
      <c r="M10" s="1029">
        <v>1360</v>
      </c>
      <c r="N10" s="1029">
        <v>1455</v>
      </c>
      <c r="O10" s="1029">
        <v>1486</v>
      </c>
      <c r="P10" s="1029">
        <v>1333</v>
      </c>
      <c r="Q10" s="1029">
        <v>1430</v>
      </c>
      <c r="R10" s="1029">
        <v>1447</v>
      </c>
      <c r="S10" s="1029">
        <v>1382</v>
      </c>
      <c r="T10" s="1028">
        <v>1286</v>
      </c>
      <c r="U10" s="1024">
        <v>1063</v>
      </c>
      <c r="V10" s="1024">
        <v>1221</v>
      </c>
      <c r="W10" s="1024">
        <v>1076</v>
      </c>
      <c r="X10" s="1024">
        <v>901</v>
      </c>
      <c r="Y10" s="1024">
        <v>802</v>
      </c>
      <c r="Z10" s="1024">
        <v>772</v>
      </c>
      <c r="AA10" s="1024">
        <v>742</v>
      </c>
      <c r="AB10" s="1024">
        <v>655</v>
      </c>
      <c r="AC10" s="139">
        <f t="shared" si="2"/>
        <v>-11.725067385444746</v>
      </c>
      <c r="AD10" s="139">
        <f t="shared" si="3"/>
        <v>-50.86271567891973</v>
      </c>
      <c r="AE10" s="102" t="s">
        <v>61</v>
      </c>
    </row>
    <row r="11" spans="1:31" ht="12.75">
      <c r="A11" s="114"/>
      <c r="B11" s="133" t="s">
        <v>14</v>
      </c>
      <c r="C11" s="144">
        <v>1208</v>
      </c>
      <c r="D11" s="147">
        <v>690</v>
      </c>
      <c r="E11" s="1025">
        <v>634</v>
      </c>
      <c r="F11" s="1026">
        <v>606</v>
      </c>
      <c r="G11" s="1026">
        <v>577</v>
      </c>
      <c r="H11" s="1026">
        <v>559</v>
      </c>
      <c r="I11" s="1026">
        <v>546</v>
      </c>
      <c r="J11" s="1026">
        <v>582</v>
      </c>
      <c r="K11" s="1030">
        <v>514</v>
      </c>
      <c r="L11" s="1030">
        <v>489</v>
      </c>
      <c r="M11" s="1030">
        <v>499</v>
      </c>
      <c r="N11" s="1030">
        <v>514</v>
      </c>
      <c r="O11" s="1030">
        <v>498</v>
      </c>
      <c r="P11" s="1030">
        <v>431</v>
      </c>
      <c r="Q11" s="1030">
        <v>463</v>
      </c>
      <c r="R11" s="1030">
        <v>432</v>
      </c>
      <c r="S11" s="1030">
        <v>369</v>
      </c>
      <c r="T11" s="1026">
        <v>331</v>
      </c>
      <c r="U11" s="1031">
        <v>306</v>
      </c>
      <c r="V11" s="1031">
        <v>406</v>
      </c>
      <c r="W11" s="1031">
        <v>406</v>
      </c>
      <c r="X11" s="1031">
        <v>303</v>
      </c>
      <c r="Y11" s="1031">
        <v>255</v>
      </c>
      <c r="Z11" s="1031">
        <v>220</v>
      </c>
      <c r="AA11" s="1031">
        <v>167</v>
      </c>
      <c r="AB11" s="1031">
        <v>191</v>
      </c>
      <c r="AC11" s="146">
        <f t="shared" si="2"/>
        <v>14.371257485029943</v>
      </c>
      <c r="AD11" s="146">
        <f t="shared" si="3"/>
        <v>-55.68445475638051</v>
      </c>
      <c r="AE11" s="133" t="s">
        <v>14</v>
      </c>
    </row>
    <row r="12" spans="1:31" ht="12.75">
      <c r="A12" s="114"/>
      <c r="B12" s="102" t="s">
        <v>63</v>
      </c>
      <c r="C12" s="140">
        <v>21332</v>
      </c>
      <c r="D12" s="141">
        <v>15050</v>
      </c>
      <c r="E12" s="1032">
        <v>11046</v>
      </c>
      <c r="F12" s="1028">
        <v>11300</v>
      </c>
      <c r="G12" s="1028">
        <v>10631</v>
      </c>
      <c r="H12" s="1028">
        <v>9949</v>
      </c>
      <c r="I12" s="1028">
        <v>9814</v>
      </c>
      <c r="J12" s="1028">
        <v>9454</v>
      </c>
      <c r="K12" s="1029">
        <v>8758</v>
      </c>
      <c r="L12" s="1029">
        <v>8549</v>
      </c>
      <c r="M12" s="1029">
        <v>7792</v>
      </c>
      <c r="N12" s="1029">
        <v>7772</v>
      </c>
      <c r="O12" s="1029">
        <v>7503</v>
      </c>
      <c r="P12" s="1029">
        <v>6977</v>
      </c>
      <c r="Q12" s="1029">
        <v>6842</v>
      </c>
      <c r="R12" s="1029">
        <v>6613</v>
      </c>
      <c r="S12" s="1029">
        <v>5842</v>
      </c>
      <c r="T12" s="1028">
        <v>5361</v>
      </c>
      <c r="U12" s="1024">
        <v>5091</v>
      </c>
      <c r="V12" s="1024">
        <v>4949</v>
      </c>
      <c r="W12" s="1024">
        <v>4477</v>
      </c>
      <c r="X12" s="1024">
        <v>4152</v>
      </c>
      <c r="Y12" s="1024">
        <v>3648</v>
      </c>
      <c r="Z12" s="1024">
        <v>4009</v>
      </c>
      <c r="AA12" s="1024">
        <v>3600</v>
      </c>
      <c r="AB12" s="1024">
        <v>3339</v>
      </c>
      <c r="AC12" s="139">
        <f t="shared" si="2"/>
        <v>-7.25</v>
      </c>
      <c r="AD12" s="139">
        <f t="shared" si="3"/>
        <v>-52.142754765658594</v>
      </c>
      <c r="AE12" s="102" t="s">
        <v>63</v>
      </c>
    </row>
    <row r="13" spans="1:31" ht="12.75">
      <c r="A13" s="114"/>
      <c r="B13" s="133" t="s">
        <v>64</v>
      </c>
      <c r="C13" s="144" t="s">
        <v>99</v>
      </c>
      <c r="D13" s="147" t="s">
        <v>99</v>
      </c>
      <c r="E13" s="1025">
        <v>436</v>
      </c>
      <c r="F13" s="1026">
        <v>490</v>
      </c>
      <c r="G13" s="1026">
        <v>287</v>
      </c>
      <c r="H13" s="1026">
        <v>321</v>
      </c>
      <c r="I13" s="1026">
        <v>364</v>
      </c>
      <c r="J13" s="1026">
        <v>332</v>
      </c>
      <c r="K13" s="1030">
        <v>213</v>
      </c>
      <c r="L13" s="1030">
        <v>280</v>
      </c>
      <c r="M13" s="1030">
        <v>284</v>
      </c>
      <c r="N13" s="1030">
        <v>232</v>
      </c>
      <c r="O13" s="1030">
        <v>204</v>
      </c>
      <c r="P13" s="1030">
        <v>199</v>
      </c>
      <c r="Q13" s="1030">
        <v>223</v>
      </c>
      <c r="R13" s="1030">
        <v>164</v>
      </c>
      <c r="S13" s="1030">
        <v>170</v>
      </c>
      <c r="T13" s="1026">
        <v>170</v>
      </c>
      <c r="U13" s="1031">
        <v>204</v>
      </c>
      <c r="V13" s="1031">
        <v>196</v>
      </c>
      <c r="W13" s="1031">
        <v>132</v>
      </c>
      <c r="X13" s="1031">
        <v>98</v>
      </c>
      <c r="Y13" s="1031">
        <v>79</v>
      </c>
      <c r="Z13" s="1031">
        <v>101</v>
      </c>
      <c r="AA13" s="1031">
        <v>87</v>
      </c>
      <c r="AB13" s="1031">
        <v>81</v>
      </c>
      <c r="AC13" s="146">
        <f t="shared" si="2"/>
        <v>-6.896551724137936</v>
      </c>
      <c r="AD13" s="146">
        <f t="shared" si="3"/>
        <v>-59.2964824120603</v>
      </c>
      <c r="AE13" s="133" t="s">
        <v>64</v>
      </c>
    </row>
    <row r="14" spans="1:31" ht="12.75">
      <c r="A14" s="114"/>
      <c r="B14" s="102" t="s">
        <v>68</v>
      </c>
      <c r="C14" s="140">
        <v>540</v>
      </c>
      <c r="D14" s="141">
        <v>564</v>
      </c>
      <c r="E14" s="1032">
        <v>478</v>
      </c>
      <c r="F14" s="1028">
        <v>445</v>
      </c>
      <c r="G14" s="1028">
        <v>415</v>
      </c>
      <c r="H14" s="1028">
        <v>431</v>
      </c>
      <c r="I14" s="1028">
        <v>404</v>
      </c>
      <c r="J14" s="1028">
        <v>437</v>
      </c>
      <c r="K14" s="1029">
        <v>453</v>
      </c>
      <c r="L14" s="1029">
        <v>473</v>
      </c>
      <c r="M14" s="1029">
        <v>458</v>
      </c>
      <c r="N14" s="1029">
        <v>414</v>
      </c>
      <c r="O14" s="1029">
        <v>418</v>
      </c>
      <c r="P14" s="1029">
        <v>412</v>
      </c>
      <c r="Q14" s="1029">
        <v>376</v>
      </c>
      <c r="R14" s="1029">
        <v>337</v>
      </c>
      <c r="S14" s="1029">
        <v>377</v>
      </c>
      <c r="T14" s="1028">
        <v>400</v>
      </c>
      <c r="U14" s="1024">
        <v>365</v>
      </c>
      <c r="V14" s="1024">
        <v>338</v>
      </c>
      <c r="W14" s="1024">
        <v>280</v>
      </c>
      <c r="X14" s="1024">
        <v>238</v>
      </c>
      <c r="Y14" s="1024">
        <v>212</v>
      </c>
      <c r="Z14" s="1024">
        <v>186</v>
      </c>
      <c r="AA14" s="1024">
        <v>162</v>
      </c>
      <c r="AB14" s="1024">
        <v>190</v>
      </c>
      <c r="AC14" s="139">
        <f t="shared" si="2"/>
        <v>17.283950617283963</v>
      </c>
      <c r="AD14" s="139">
        <f t="shared" si="3"/>
        <v>-53.883495145631066</v>
      </c>
      <c r="AE14" s="102" t="s">
        <v>68</v>
      </c>
    </row>
    <row r="15" spans="1:31" ht="12.75">
      <c r="A15" s="114"/>
      <c r="B15" s="133" t="s">
        <v>15</v>
      </c>
      <c r="C15" s="144">
        <v>1099</v>
      </c>
      <c r="D15" s="147">
        <v>1445</v>
      </c>
      <c r="E15" s="1025">
        <v>2050</v>
      </c>
      <c r="F15" s="1026">
        <v>2112</v>
      </c>
      <c r="G15" s="1026">
        <v>2158</v>
      </c>
      <c r="H15" s="1026">
        <v>2160</v>
      </c>
      <c r="I15" s="1026">
        <v>2253</v>
      </c>
      <c r="J15" s="1026">
        <v>2412</v>
      </c>
      <c r="K15" s="1030">
        <v>2157</v>
      </c>
      <c r="L15" s="1030">
        <v>2105</v>
      </c>
      <c r="M15" s="1030">
        <v>2182</v>
      </c>
      <c r="N15" s="1030">
        <v>2116</v>
      </c>
      <c r="O15" s="1030">
        <v>2037</v>
      </c>
      <c r="P15" s="1030">
        <v>1880</v>
      </c>
      <c r="Q15" s="1030">
        <v>1634</v>
      </c>
      <c r="R15" s="1030">
        <v>1605</v>
      </c>
      <c r="S15" s="1030">
        <v>1670</v>
      </c>
      <c r="T15" s="1026">
        <v>1658</v>
      </c>
      <c r="U15" s="1031">
        <v>1657</v>
      </c>
      <c r="V15" s="1031">
        <v>1612</v>
      </c>
      <c r="W15" s="1031">
        <v>1555</v>
      </c>
      <c r="X15" s="1031">
        <v>1456</v>
      </c>
      <c r="Y15" s="1031">
        <v>1258</v>
      </c>
      <c r="Z15" s="1031">
        <v>1141</v>
      </c>
      <c r="AA15" s="1031">
        <v>988</v>
      </c>
      <c r="AB15" s="1031">
        <v>874</v>
      </c>
      <c r="AC15" s="146">
        <f t="shared" si="2"/>
        <v>-11.538461538461547</v>
      </c>
      <c r="AD15" s="146">
        <f t="shared" si="3"/>
        <v>-53.51063829787234</v>
      </c>
      <c r="AE15" s="133" t="s">
        <v>15</v>
      </c>
    </row>
    <row r="16" spans="1:31" ht="12.75">
      <c r="A16" s="114"/>
      <c r="B16" s="102" t="s">
        <v>66</v>
      </c>
      <c r="C16" s="140">
        <v>5456</v>
      </c>
      <c r="D16" s="141">
        <v>6522</v>
      </c>
      <c r="E16" s="1032">
        <v>9032</v>
      </c>
      <c r="F16" s="1028">
        <v>8837</v>
      </c>
      <c r="G16" s="1028">
        <v>7818</v>
      </c>
      <c r="H16" s="1028">
        <v>6375</v>
      </c>
      <c r="I16" s="1028">
        <v>5612</v>
      </c>
      <c r="J16" s="1028">
        <v>5749</v>
      </c>
      <c r="K16" s="1029">
        <v>5482</v>
      </c>
      <c r="L16" s="1029">
        <v>5604</v>
      </c>
      <c r="M16" s="1029">
        <v>5956</v>
      </c>
      <c r="N16" s="1029">
        <v>5738</v>
      </c>
      <c r="O16" s="1029">
        <v>5777</v>
      </c>
      <c r="P16" s="1029">
        <v>5517</v>
      </c>
      <c r="Q16" s="1029">
        <v>5347</v>
      </c>
      <c r="R16" s="1029">
        <v>5400</v>
      </c>
      <c r="S16" s="1029">
        <v>4749</v>
      </c>
      <c r="T16" s="1028">
        <v>4442</v>
      </c>
      <c r="U16" s="1024">
        <v>4104</v>
      </c>
      <c r="V16" s="1024">
        <v>3823</v>
      </c>
      <c r="W16" s="1024">
        <v>3100</v>
      </c>
      <c r="X16" s="1024">
        <v>2714</v>
      </c>
      <c r="Y16" s="1024">
        <v>2479</v>
      </c>
      <c r="Z16" s="1024">
        <v>2060</v>
      </c>
      <c r="AA16" s="1024">
        <v>1903</v>
      </c>
      <c r="AB16" s="1024">
        <v>1680</v>
      </c>
      <c r="AC16" s="139">
        <f t="shared" si="2"/>
        <v>-11.718339464004202</v>
      </c>
      <c r="AD16" s="139">
        <f t="shared" si="3"/>
        <v>-69.54866775421425</v>
      </c>
      <c r="AE16" s="102" t="s">
        <v>66</v>
      </c>
    </row>
    <row r="17" spans="1:31" ht="12.75">
      <c r="A17" s="114"/>
      <c r="B17" s="133" t="s">
        <v>67</v>
      </c>
      <c r="C17" s="144">
        <v>16448</v>
      </c>
      <c r="D17" s="147">
        <v>13672</v>
      </c>
      <c r="E17" s="1025">
        <v>11215</v>
      </c>
      <c r="F17" s="1026">
        <v>10483</v>
      </c>
      <c r="G17" s="1026">
        <v>9902</v>
      </c>
      <c r="H17" s="1026">
        <v>9865</v>
      </c>
      <c r="I17" s="1026">
        <v>9019</v>
      </c>
      <c r="J17" s="1026">
        <v>8892</v>
      </c>
      <c r="K17" s="1030">
        <v>8540</v>
      </c>
      <c r="L17" s="1030">
        <v>8445</v>
      </c>
      <c r="M17" s="1030">
        <v>8920</v>
      </c>
      <c r="N17" s="1030">
        <v>8486</v>
      </c>
      <c r="O17" s="1030">
        <v>8079</v>
      </c>
      <c r="P17" s="1030">
        <v>8162</v>
      </c>
      <c r="Q17" s="1030">
        <v>7655</v>
      </c>
      <c r="R17" s="1030">
        <v>6058</v>
      </c>
      <c r="S17" s="1030">
        <v>5530</v>
      </c>
      <c r="T17" s="1026">
        <v>5318</v>
      </c>
      <c r="U17" s="1031">
        <v>4709</v>
      </c>
      <c r="V17" s="1031">
        <v>4620</v>
      </c>
      <c r="W17" s="1031">
        <v>4275</v>
      </c>
      <c r="X17" s="1031">
        <v>4273</v>
      </c>
      <c r="Y17" s="1031">
        <v>3992</v>
      </c>
      <c r="Z17" s="1031">
        <v>3963</v>
      </c>
      <c r="AA17" s="1031">
        <v>3653</v>
      </c>
      <c r="AB17" s="1031">
        <v>3268</v>
      </c>
      <c r="AC17" s="146">
        <f t="shared" si="2"/>
        <v>-10.53928278127566</v>
      </c>
      <c r="AD17" s="146">
        <f t="shared" si="3"/>
        <v>-59.96079392305808</v>
      </c>
      <c r="AE17" s="133" t="s">
        <v>67</v>
      </c>
    </row>
    <row r="18" spans="1:31" ht="12.75">
      <c r="A18" s="114"/>
      <c r="B18" s="102" t="s">
        <v>148</v>
      </c>
      <c r="C18" s="151"/>
      <c r="D18" s="152"/>
      <c r="E18" s="1032">
        <v>1360</v>
      </c>
      <c r="F18" s="1028"/>
      <c r="G18" s="1028"/>
      <c r="H18" s="1028"/>
      <c r="I18" s="1028"/>
      <c r="J18" s="1028">
        <v>800</v>
      </c>
      <c r="K18" s="1028"/>
      <c r="L18" s="1028"/>
      <c r="M18" s="1028"/>
      <c r="N18" s="1028">
        <v>662</v>
      </c>
      <c r="O18" s="1028">
        <v>655</v>
      </c>
      <c r="P18" s="1028">
        <v>647</v>
      </c>
      <c r="Q18" s="1028">
        <v>627</v>
      </c>
      <c r="R18" s="1028">
        <v>701</v>
      </c>
      <c r="S18" s="1028">
        <v>608</v>
      </c>
      <c r="T18" s="1028">
        <v>597</v>
      </c>
      <c r="U18" s="1028">
        <v>614</v>
      </c>
      <c r="V18" s="1028">
        <v>619</v>
      </c>
      <c r="W18" s="1028">
        <v>664</v>
      </c>
      <c r="X18" s="1028">
        <v>548</v>
      </c>
      <c r="Y18" s="1028">
        <v>426</v>
      </c>
      <c r="Z18" s="1028">
        <v>418</v>
      </c>
      <c r="AA18" s="1028">
        <v>390</v>
      </c>
      <c r="AB18" s="1028">
        <v>368</v>
      </c>
      <c r="AC18" s="139">
        <f t="shared" si="2"/>
        <v>-5.641025641025649</v>
      </c>
      <c r="AD18" s="139">
        <f t="shared" si="3"/>
        <v>-43.12210200927357</v>
      </c>
      <c r="AE18" s="102" t="s">
        <v>148</v>
      </c>
    </row>
    <row r="19" spans="1:31" ht="12.75">
      <c r="A19" s="114"/>
      <c r="B19" s="294" t="s">
        <v>69</v>
      </c>
      <c r="C19" s="537">
        <v>11004</v>
      </c>
      <c r="D19" s="538">
        <v>9220</v>
      </c>
      <c r="E19" s="1033">
        <v>7151</v>
      </c>
      <c r="F19" s="1034">
        <v>8109</v>
      </c>
      <c r="G19" s="1034">
        <v>8053</v>
      </c>
      <c r="H19" s="1034">
        <v>7187</v>
      </c>
      <c r="I19" s="1034">
        <v>7091</v>
      </c>
      <c r="J19" s="1034">
        <v>7020</v>
      </c>
      <c r="K19" s="1035">
        <v>6676</v>
      </c>
      <c r="L19" s="1035">
        <v>6714</v>
      </c>
      <c r="M19" s="1035">
        <v>6313</v>
      </c>
      <c r="N19" s="1035">
        <v>6688</v>
      </c>
      <c r="O19" s="1035">
        <v>7061</v>
      </c>
      <c r="P19" s="1035">
        <v>7096</v>
      </c>
      <c r="Q19" s="1035">
        <v>6980</v>
      </c>
      <c r="R19" s="1035">
        <v>6563</v>
      </c>
      <c r="S19" s="1035">
        <v>6122</v>
      </c>
      <c r="T19" s="1034">
        <v>5818</v>
      </c>
      <c r="U19" s="1036">
        <v>5669</v>
      </c>
      <c r="V19" s="1036">
        <v>5131</v>
      </c>
      <c r="W19" s="1036">
        <v>4725</v>
      </c>
      <c r="X19" s="1036">
        <v>4237</v>
      </c>
      <c r="Y19" s="1036">
        <v>4114</v>
      </c>
      <c r="Z19" s="1036">
        <v>3860</v>
      </c>
      <c r="AA19" s="1036">
        <v>3653</v>
      </c>
      <c r="AB19" s="1036">
        <v>3385</v>
      </c>
      <c r="AC19" s="539">
        <f t="shared" si="2"/>
        <v>-7.336435806186685</v>
      </c>
      <c r="AD19" s="539">
        <f t="shared" si="3"/>
        <v>-52.29706877113867</v>
      </c>
      <c r="AE19" s="294" t="s">
        <v>69</v>
      </c>
    </row>
    <row r="20" spans="1:31" ht="12.75">
      <c r="A20" s="114"/>
      <c r="B20" s="102" t="s">
        <v>71</v>
      </c>
      <c r="C20" s="140" t="s">
        <v>99</v>
      </c>
      <c r="D20" s="141">
        <v>85</v>
      </c>
      <c r="E20" s="1032">
        <v>116</v>
      </c>
      <c r="F20" s="1028">
        <v>103</v>
      </c>
      <c r="G20" s="1028">
        <v>132</v>
      </c>
      <c r="H20" s="1028">
        <v>115</v>
      </c>
      <c r="I20" s="1028">
        <v>133</v>
      </c>
      <c r="J20" s="1028">
        <v>118</v>
      </c>
      <c r="K20" s="1029">
        <v>128</v>
      </c>
      <c r="L20" s="1029">
        <v>115</v>
      </c>
      <c r="M20" s="1029">
        <v>111</v>
      </c>
      <c r="N20" s="1029">
        <v>113</v>
      </c>
      <c r="O20" s="1029">
        <v>111</v>
      </c>
      <c r="P20" s="1029">
        <v>98</v>
      </c>
      <c r="Q20" s="1029">
        <v>94</v>
      </c>
      <c r="R20" s="1029">
        <v>97</v>
      </c>
      <c r="S20" s="1029">
        <v>117</v>
      </c>
      <c r="T20" s="1028">
        <v>102</v>
      </c>
      <c r="U20" s="1024">
        <v>86</v>
      </c>
      <c r="V20" s="1024">
        <v>89</v>
      </c>
      <c r="W20" s="1024">
        <v>82</v>
      </c>
      <c r="X20" s="1024">
        <v>71</v>
      </c>
      <c r="Y20" s="1024">
        <v>60</v>
      </c>
      <c r="Z20" s="1024">
        <v>71</v>
      </c>
      <c r="AA20" s="1024">
        <v>51</v>
      </c>
      <c r="AB20" s="1024">
        <v>44</v>
      </c>
      <c r="AC20" s="139">
        <f t="shared" si="2"/>
        <v>-13.725490196078425</v>
      </c>
      <c r="AD20" s="139">
        <f t="shared" si="3"/>
        <v>-55.10204081632653</v>
      </c>
      <c r="AE20" s="102" t="s">
        <v>71</v>
      </c>
    </row>
    <row r="21" spans="1:31" ht="12.75">
      <c r="A21" s="114"/>
      <c r="B21" s="294" t="s">
        <v>72</v>
      </c>
      <c r="C21" s="537" t="s">
        <v>99</v>
      </c>
      <c r="D21" s="538" t="s">
        <v>99</v>
      </c>
      <c r="E21" s="1033">
        <v>947</v>
      </c>
      <c r="F21" s="1034">
        <v>997</v>
      </c>
      <c r="G21" s="1034">
        <v>787</v>
      </c>
      <c r="H21" s="1034">
        <v>724</v>
      </c>
      <c r="I21" s="1034">
        <v>774</v>
      </c>
      <c r="J21" s="1034">
        <v>660</v>
      </c>
      <c r="K21" s="1035">
        <v>594</v>
      </c>
      <c r="L21" s="1035">
        <v>567</v>
      </c>
      <c r="M21" s="1035">
        <v>677</v>
      </c>
      <c r="N21" s="1035">
        <v>652</v>
      </c>
      <c r="O21" s="1035">
        <v>635</v>
      </c>
      <c r="P21" s="1035">
        <v>558</v>
      </c>
      <c r="Q21" s="1035">
        <v>559</v>
      </c>
      <c r="R21" s="1035">
        <v>532.44</v>
      </c>
      <c r="S21" s="1035">
        <v>516</v>
      </c>
      <c r="T21" s="1034">
        <v>442</v>
      </c>
      <c r="U21" s="1036">
        <v>407</v>
      </c>
      <c r="V21" s="1036">
        <v>419</v>
      </c>
      <c r="W21" s="1036">
        <v>316</v>
      </c>
      <c r="X21" s="1036">
        <v>254</v>
      </c>
      <c r="Y21" s="1036">
        <v>218</v>
      </c>
      <c r="Z21" s="1036">
        <v>179</v>
      </c>
      <c r="AA21" s="1036">
        <v>177</v>
      </c>
      <c r="AB21" s="1036">
        <v>179</v>
      </c>
      <c r="AC21" s="539">
        <f t="shared" si="2"/>
        <v>1.129943502824844</v>
      </c>
      <c r="AD21" s="539">
        <f t="shared" si="3"/>
        <v>-67.92114695340501</v>
      </c>
      <c r="AE21" s="294" t="s">
        <v>72</v>
      </c>
    </row>
    <row r="22" spans="1:31" ht="12.75">
      <c r="A22" s="114"/>
      <c r="B22" s="102" t="s">
        <v>73</v>
      </c>
      <c r="C22" s="140" t="s">
        <v>99</v>
      </c>
      <c r="D22" s="141" t="s">
        <v>99</v>
      </c>
      <c r="E22" s="1032">
        <v>933</v>
      </c>
      <c r="F22" s="1028">
        <v>1093</v>
      </c>
      <c r="G22" s="1028">
        <v>779</v>
      </c>
      <c r="H22" s="1028">
        <v>958</v>
      </c>
      <c r="I22" s="1028">
        <v>765</v>
      </c>
      <c r="J22" s="1028">
        <v>672</v>
      </c>
      <c r="K22" s="1029">
        <v>667</v>
      </c>
      <c r="L22" s="1029">
        <v>752</v>
      </c>
      <c r="M22" s="1029">
        <v>829</v>
      </c>
      <c r="N22" s="1029">
        <v>748</v>
      </c>
      <c r="O22" s="1029">
        <v>641</v>
      </c>
      <c r="P22" s="1029">
        <v>706</v>
      </c>
      <c r="Q22" s="1029">
        <v>697</v>
      </c>
      <c r="R22" s="1029">
        <v>709</v>
      </c>
      <c r="S22" s="1029">
        <v>752</v>
      </c>
      <c r="T22" s="1028">
        <v>773</v>
      </c>
      <c r="U22" s="1024">
        <v>760</v>
      </c>
      <c r="V22" s="1024">
        <v>740</v>
      </c>
      <c r="W22" s="1024">
        <v>499</v>
      </c>
      <c r="X22" s="1024">
        <v>370</v>
      </c>
      <c r="Y22" s="1024">
        <v>299</v>
      </c>
      <c r="Z22" s="1024">
        <v>296</v>
      </c>
      <c r="AA22" s="1024">
        <v>302</v>
      </c>
      <c r="AB22" s="1024">
        <v>256</v>
      </c>
      <c r="AC22" s="139">
        <f t="shared" si="2"/>
        <v>-15.231788079470192</v>
      </c>
      <c r="AD22" s="139">
        <f t="shared" si="3"/>
        <v>-63.73937677053824</v>
      </c>
      <c r="AE22" s="102" t="s">
        <v>73</v>
      </c>
    </row>
    <row r="23" spans="1:31" ht="12.75">
      <c r="A23" s="114"/>
      <c r="B23" s="294" t="s">
        <v>76</v>
      </c>
      <c r="C23" s="537">
        <v>132</v>
      </c>
      <c r="D23" s="538">
        <v>98</v>
      </c>
      <c r="E23" s="1033">
        <v>70</v>
      </c>
      <c r="F23" s="1034">
        <v>83</v>
      </c>
      <c r="G23" s="1034">
        <v>69</v>
      </c>
      <c r="H23" s="1034">
        <v>78</v>
      </c>
      <c r="I23" s="1034">
        <v>65</v>
      </c>
      <c r="J23" s="1034">
        <v>70</v>
      </c>
      <c r="K23" s="1035">
        <v>71</v>
      </c>
      <c r="L23" s="1035">
        <v>60</v>
      </c>
      <c r="M23" s="1035">
        <v>57</v>
      </c>
      <c r="N23" s="1035">
        <v>58</v>
      </c>
      <c r="O23" s="1035">
        <v>76</v>
      </c>
      <c r="P23" s="1035">
        <v>70</v>
      </c>
      <c r="Q23" s="1035">
        <v>62</v>
      </c>
      <c r="R23" s="1035">
        <v>53</v>
      </c>
      <c r="S23" s="1035">
        <v>50</v>
      </c>
      <c r="T23" s="1034">
        <v>47</v>
      </c>
      <c r="U23" s="1036">
        <v>43</v>
      </c>
      <c r="V23" s="1036">
        <v>46</v>
      </c>
      <c r="W23" s="1036">
        <v>35</v>
      </c>
      <c r="X23" s="1036">
        <v>48</v>
      </c>
      <c r="Y23" s="1036">
        <v>32</v>
      </c>
      <c r="Z23" s="1036">
        <v>33</v>
      </c>
      <c r="AA23" s="1036">
        <v>34</v>
      </c>
      <c r="AB23" s="1036">
        <v>45</v>
      </c>
      <c r="AC23" s="539">
        <f t="shared" si="2"/>
        <v>32.35294117647058</v>
      </c>
      <c r="AD23" s="539">
        <f t="shared" si="3"/>
        <v>-35.71428571428571</v>
      </c>
      <c r="AE23" s="294" t="s">
        <v>76</v>
      </c>
    </row>
    <row r="24" spans="1:31" ht="12.75">
      <c r="A24" s="114"/>
      <c r="B24" s="102" t="s">
        <v>77</v>
      </c>
      <c r="C24" s="140" t="s">
        <v>99</v>
      </c>
      <c r="D24" s="141" t="s">
        <v>99</v>
      </c>
      <c r="E24" s="1032">
        <v>2432</v>
      </c>
      <c r="F24" s="1028">
        <v>2120</v>
      </c>
      <c r="G24" s="1028">
        <v>2101</v>
      </c>
      <c r="H24" s="1028">
        <v>1678</v>
      </c>
      <c r="I24" s="1028">
        <v>1562</v>
      </c>
      <c r="J24" s="1028">
        <v>1589</v>
      </c>
      <c r="K24" s="1029">
        <v>1370</v>
      </c>
      <c r="L24" s="1029">
        <v>1391</v>
      </c>
      <c r="M24" s="1029">
        <v>1371</v>
      </c>
      <c r="N24" s="1029">
        <v>1306</v>
      </c>
      <c r="O24" s="1029">
        <v>1200</v>
      </c>
      <c r="P24" s="1029">
        <v>1239</v>
      </c>
      <c r="Q24" s="1029">
        <v>1429</v>
      </c>
      <c r="R24" s="1029">
        <v>1326</v>
      </c>
      <c r="S24" s="1029">
        <v>1296</v>
      </c>
      <c r="T24" s="1028">
        <v>1278</v>
      </c>
      <c r="U24" s="1024">
        <v>1303</v>
      </c>
      <c r="V24" s="1024">
        <v>1232</v>
      </c>
      <c r="W24" s="1024">
        <v>996</v>
      </c>
      <c r="X24" s="1024">
        <v>822</v>
      </c>
      <c r="Y24" s="1024">
        <v>740</v>
      </c>
      <c r="Z24" s="1024">
        <v>638</v>
      </c>
      <c r="AA24" s="1024">
        <v>606</v>
      </c>
      <c r="AB24" s="1024">
        <v>591</v>
      </c>
      <c r="AC24" s="139">
        <f t="shared" si="2"/>
        <v>-2.4752475247524757</v>
      </c>
      <c r="AD24" s="139">
        <f t="shared" si="3"/>
        <v>-52.300242130750604</v>
      </c>
      <c r="AE24" s="102" t="s">
        <v>77</v>
      </c>
    </row>
    <row r="25" spans="1:31" ht="12.75">
      <c r="A25" s="114"/>
      <c r="B25" s="294" t="s">
        <v>78</v>
      </c>
      <c r="C25" s="537" t="s">
        <v>99</v>
      </c>
      <c r="D25" s="538" t="s">
        <v>99</v>
      </c>
      <c r="E25" s="1033">
        <v>4</v>
      </c>
      <c r="F25" s="1034">
        <v>16</v>
      </c>
      <c r="G25" s="1034">
        <v>11</v>
      </c>
      <c r="H25" s="1034">
        <v>14</v>
      </c>
      <c r="I25" s="1034">
        <v>6</v>
      </c>
      <c r="J25" s="1034">
        <v>14</v>
      </c>
      <c r="K25" s="1035">
        <v>19</v>
      </c>
      <c r="L25" s="1035">
        <v>18</v>
      </c>
      <c r="M25" s="1035">
        <v>17</v>
      </c>
      <c r="N25" s="1035">
        <v>4</v>
      </c>
      <c r="O25" s="1035">
        <v>15</v>
      </c>
      <c r="P25" s="1035">
        <v>16</v>
      </c>
      <c r="Q25" s="1035">
        <v>16</v>
      </c>
      <c r="R25" s="1035">
        <v>16</v>
      </c>
      <c r="S25" s="1035">
        <v>13</v>
      </c>
      <c r="T25" s="1034">
        <v>17</v>
      </c>
      <c r="U25" s="1036">
        <v>11</v>
      </c>
      <c r="V25" s="1036">
        <v>14</v>
      </c>
      <c r="W25" s="1036">
        <v>15</v>
      </c>
      <c r="X25" s="1036">
        <v>21</v>
      </c>
      <c r="Y25" s="1036">
        <v>15</v>
      </c>
      <c r="Z25" s="1036">
        <v>21</v>
      </c>
      <c r="AA25" s="1036">
        <v>9</v>
      </c>
      <c r="AB25" s="1036">
        <v>18</v>
      </c>
      <c r="AC25" s="539">
        <f t="shared" si="2"/>
        <v>100</v>
      </c>
      <c r="AD25" s="539">
        <f t="shared" si="3"/>
        <v>12.5</v>
      </c>
      <c r="AE25" s="294" t="s">
        <v>78</v>
      </c>
    </row>
    <row r="26" spans="1:31" ht="12.75">
      <c r="A26" s="114"/>
      <c r="B26" s="102" t="s">
        <v>16</v>
      </c>
      <c r="C26" s="140">
        <v>3181</v>
      </c>
      <c r="D26" s="141">
        <v>1997</v>
      </c>
      <c r="E26" s="1032">
        <v>1376</v>
      </c>
      <c r="F26" s="1028">
        <v>1281</v>
      </c>
      <c r="G26" s="1028">
        <v>1253</v>
      </c>
      <c r="H26" s="1028">
        <v>1235</v>
      </c>
      <c r="I26" s="1028">
        <v>1298</v>
      </c>
      <c r="J26" s="1028">
        <v>1334</v>
      </c>
      <c r="K26" s="1029">
        <v>1180</v>
      </c>
      <c r="L26" s="1029">
        <v>1163</v>
      </c>
      <c r="M26" s="1029">
        <v>1066</v>
      </c>
      <c r="N26" s="1029">
        <v>1090</v>
      </c>
      <c r="O26" s="1029">
        <v>1082</v>
      </c>
      <c r="P26" s="1029">
        <v>993</v>
      </c>
      <c r="Q26" s="1029">
        <v>987</v>
      </c>
      <c r="R26" s="1029">
        <v>1028</v>
      </c>
      <c r="S26" s="1029">
        <v>804</v>
      </c>
      <c r="T26" s="1028">
        <v>750</v>
      </c>
      <c r="U26" s="1024">
        <v>730</v>
      </c>
      <c r="V26" s="1024">
        <v>709</v>
      </c>
      <c r="W26" s="1024">
        <v>677</v>
      </c>
      <c r="X26" s="1024">
        <v>644</v>
      </c>
      <c r="Y26" s="1024">
        <v>537</v>
      </c>
      <c r="Z26" s="1024">
        <v>546</v>
      </c>
      <c r="AA26" s="1024">
        <v>562</v>
      </c>
      <c r="AB26" s="1024">
        <v>476</v>
      </c>
      <c r="AC26" s="139">
        <f t="shared" si="2"/>
        <v>-15.30249110320284</v>
      </c>
      <c r="AD26" s="139">
        <f t="shared" si="3"/>
        <v>-52.06445115810674</v>
      </c>
      <c r="AE26" s="102" t="s">
        <v>16</v>
      </c>
    </row>
    <row r="27" spans="1:31" ht="12.75">
      <c r="A27" s="114"/>
      <c r="B27" s="294" t="s">
        <v>81</v>
      </c>
      <c r="C27" s="537">
        <v>2507</v>
      </c>
      <c r="D27" s="538">
        <v>2003</v>
      </c>
      <c r="E27" s="1033">
        <v>1391</v>
      </c>
      <c r="F27" s="1034">
        <v>1551</v>
      </c>
      <c r="G27" s="1034">
        <v>1403</v>
      </c>
      <c r="H27" s="1034">
        <v>1283</v>
      </c>
      <c r="I27" s="1034">
        <v>1338</v>
      </c>
      <c r="J27" s="1034">
        <v>1210</v>
      </c>
      <c r="K27" s="1034">
        <v>1027</v>
      </c>
      <c r="L27" s="1034">
        <v>1105</v>
      </c>
      <c r="M27" s="1034">
        <v>963</v>
      </c>
      <c r="N27" s="1034">
        <v>1079</v>
      </c>
      <c r="O27" s="1034">
        <v>976</v>
      </c>
      <c r="P27" s="1034">
        <v>958</v>
      </c>
      <c r="Q27" s="1034">
        <v>956</v>
      </c>
      <c r="R27" s="1034">
        <v>931</v>
      </c>
      <c r="S27" s="1034">
        <v>878</v>
      </c>
      <c r="T27" s="1034">
        <v>768</v>
      </c>
      <c r="U27" s="1036">
        <v>730</v>
      </c>
      <c r="V27" s="1036">
        <v>691</v>
      </c>
      <c r="W27" s="1036">
        <v>679</v>
      </c>
      <c r="X27" s="1036">
        <v>633</v>
      </c>
      <c r="Y27" s="1036">
        <v>552</v>
      </c>
      <c r="Z27" s="1036">
        <v>523</v>
      </c>
      <c r="AA27" s="1036">
        <v>531</v>
      </c>
      <c r="AB27" s="1036">
        <v>455</v>
      </c>
      <c r="AC27" s="539">
        <f t="shared" si="2"/>
        <v>-14.312617702448222</v>
      </c>
      <c r="AD27" s="539">
        <f t="shared" si="3"/>
        <v>-52.505219206680586</v>
      </c>
      <c r="AE27" s="294" t="s">
        <v>81</v>
      </c>
    </row>
    <row r="28" spans="1:31" ht="12.75">
      <c r="A28" s="114"/>
      <c r="B28" s="102" t="s">
        <v>80</v>
      </c>
      <c r="C28" s="140" t="s">
        <v>99</v>
      </c>
      <c r="D28" s="141" t="s">
        <v>99</v>
      </c>
      <c r="E28" s="1032">
        <v>7333</v>
      </c>
      <c r="F28" s="1028">
        <v>7901</v>
      </c>
      <c r="G28" s="1028">
        <v>6946</v>
      </c>
      <c r="H28" s="1028">
        <v>6341</v>
      </c>
      <c r="I28" s="1028">
        <v>6744</v>
      </c>
      <c r="J28" s="1028">
        <v>6900</v>
      </c>
      <c r="K28" s="1029">
        <v>6359</v>
      </c>
      <c r="L28" s="1029">
        <v>7310</v>
      </c>
      <c r="M28" s="1029">
        <v>7080</v>
      </c>
      <c r="N28" s="1029">
        <v>6730</v>
      </c>
      <c r="O28" s="1029">
        <v>6294</v>
      </c>
      <c r="P28" s="1029">
        <v>5534</v>
      </c>
      <c r="Q28" s="1029">
        <v>5826</v>
      </c>
      <c r="R28" s="1029">
        <v>5642</v>
      </c>
      <c r="S28" s="1029">
        <v>5712</v>
      </c>
      <c r="T28" s="1028">
        <v>5444</v>
      </c>
      <c r="U28" s="1024">
        <v>5243</v>
      </c>
      <c r="V28" s="1024">
        <v>5583</v>
      </c>
      <c r="W28" s="1024">
        <v>5437</v>
      </c>
      <c r="X28" s="1024">
        <v>4572</v>
      </c>
      <c r="Y28" s="1024">
        <v>3908</v>
      </c>
      <c r="Z28" s="1024">
        <v>4189</v>
      </c>
      <c r="AA28" s="1024">
        <v>3571</v>
      </c>
      <c r="AB28" s="1024">
        <v>3357</v>
      </c>
      <c r="AC28" s="139">
        <f t="shared" si="2"/>
        <v>-5.992719126295157</v>
      </c>
      <c r="AD28" s="139">
        <f t="shared" si="3"/>
        <v>-39.33863389953017</v>
      </c>
      <c r="AE28" s="102" t="s">
        <v>80</v>
      </c>
    </row>
    <row r="29" spans="1:31" ht="12.75">
      <c r="A29" s="114"/>
      <c r="B29" s="294" t="s">
        <v>92</v>
      </c>
      <c r="C29" s="537">
        <v>1842</v>
      </c>
      <c r="D29" s="538">
        <v>2941</v>
      </c>
      <c r="E29" s="1033">
        <v>2646</v>
      </c>
      <c r="F29" s="1034">
        <v>3217</v>
      </c>
      <c r="G29" s="1034">
        <v>3086</v>
      </c>
      <c r="H29" s="1034">
        <v>2701</v>
      </c>
      <c r="I29" s="1034">
        <v>2505</v>
      </c>
      <c r="J29" s="1034">
        <v>2711</v>
      </c>
      <c r="K29" s="1035">
        <v>2730</v>
      </c>
      <c r="L29" s="1035">
        <v>2521</v>
      </c>
      <c r="M29" s="1035">
        <v>2126</v>
      </c>
      <c r="N29" s="1035">
        <v>2028</v>
      </c>
      <c r="O29" s="1035">
        <v>1877</v>
      </c>
      <c r="P29" s="1035">
        <v>1670</v>
      </c>
      <c r="Q29" s="1035">
        <v>1655</v>
      </c>
      <c r="R29" s="1035">
        <v>1542</v>
      </c>
      <c r="S29" s="1035">
        <v>1294</v>
      </c>
      <c r="T29" s="1034">
        <v>1247</v>
      </c>
      <c r="U29" s="1036">
        <v>969</v>
      </c>
      <c r="V29" s="1036">
        <v>973.56</v>
      </c>
      <c r="W29" s="1036">
        <v>884.64</v>
      </c>
      <c r="X29" s="1036">
        <v>840</v>
      </c>
      <c r="Y29" s="1036">
        <v>937</v>
      </c>
      <c r="Z29" s="1036">
        <v>891</v>
      </c>
      <c r="AA29" s="1036">
        <v>718</v>
      </c>
      <c r="AB29" s="1036">
        <v>637</v>
      </c>
      <c r="AC29" s="539">
        <f t="shared" si="2"/>
        <v>-11.281337047353759</v>
      </c>
      <c r="AD29" s="539">
        <f t="shared" si="3"/>
        <v>-61.8562874251497</v>
      </c>
      <c r="AE29" s="294" t="s">
        <v>92</v>
      </c>
    </row>
    <row r="30" spans="1:31" ht="12.75">
      <c r="A30" s="114"/>
      <c r="B30" s="102" t="s">
        <v>102</v>
      </c>
      <c r="C30" s="151"/>
      <c r="D30" s="152"/>
      <c r="E30" s="1032">
        <v>3782</v>
      </c>
      <c r="F30" s="1028">
        <v>3078</v>
      </c>
      <c r="G30" s="1028">
        <v>2816</v>
      </c>
      <c r="H30" s="1028">
        <v>2826</v>
      </c>
      <c r="I30" s="1028">
        <v>2877</v>
      </c>
      <c r="J30" s="1028">
        <v>2845</v>
      </c>
      <c r="K30" s="1029">
        <v>2845</v>
      </c>
      <c r="L30" s="1029">
        <v>2863</v>
      </c>
      <c r="M30" s="1029">
        <v>2778</v>
      </c>
      <c r="N30" s="1029">
        <v>2505</v>
      </c>
      <c r="O30" s="1029">
        <v>2466</v>
      </c>
      <c r="P30" s="1029">
        <v>2450</v>
      </c>
      <c r="Q30" s="1029">
        <v>2411</v>
      </c>
      <c r="R30" s="1029">
        <v>2229</v>
      </c>
      <c r="S30" s="1029">
        <v>2442</v>
      </c>
      <c r="T30" s="1028">
        <v>2629</v>
      </c>
      <c r="U30" s="1028">
        <v>2587</v>
      </c>
      <c r="V30" s="1028">
        <v>2800</v>
      </c>
      <c r="W30" s="1028">
        <v>3061</v>
      </c>
      <c r="X30" s="1028">
        <v>2796</v>
      </c>
      <c r="Y30" s="1028">
        <v>2377</v>
      </c>
      <c r="Z30" s="1028">
        <v>2018</v>
      </c>
      <c r="AA30" s="1028">
        <v>2042</v>
      </c>
      <c r="AB30" s="1028">
        <v>1861</v>
      </c>
      <c r="AC30" s="139">
        <f t="shared" si="2"/>
        <v>-8.863858961802151</v>
      </c>
      <c r="AD30" s="139">
        <f t="shared" si="3"/>
        <v>-24.040816326530617</v>
      </c>
      <c r="AE30" s="102" t="s">
        <v>102</v>
      </c>
    </row>
    <row r="31" spans="1:31" ht="12.75">
      <c r="A31" s="114"/>
      <c r="B31" s="294" t="s">
        <v>83</v>
      </c>
      <c r="C31" s="537" t="s">
        <v>99</v>
      </c>
      <c r="D31" s="538" t="s">
        <v>99</v>
      </c>
      <c r="E31" s="1033">
        <v>517</v>
      </c>
      <c r="F31" s="1034">
        <v>462</v>
      </c>
      <c r="G31" s="1034">
        <v>493</v>
      </c>
      <c r="H31" s="1034">
        <v>493</v>
      </c>
      <c r="I31" s="1034">
        <v>505</v>
      </c>
      <c r="J31" s="1034">
        <v>415</v>
      </c>
      <c r="K31" s="1034">
        <v>389</v>
      </c>
      <c r="L31" s="1034">
        <v>357</v>
      </c>
      <c r="M31" s="1034">
        <v>309</v>
      </c>
      <c r="N31" s="1034">
        <v>334</v>
      </c>
      <c r="O31" s="1034">
        <v>314</v>
      </c>
      <c r="P31" s="1034">
        <v>278</v>
      </c>
      <c r="Q31" s="1034">
        <v>269</v>
      </c>
      <c r="R31" s="1034">
        <v>242</v>
      </c>
      <c r="S31" s="1034">
        <v>274</v>
      </c>
      <c r="T31" s="1034">
        <v>258</v>
      </c>
      <c r="U31" s="1036">
        <v>262</v>
      </c>
      <c r="V31" s="1036">
        <v>293</v>
      </c>
      <c r="W31" s="1036">
        <v>214</v>
      </c>
      <c r="X31" s="1036">
        <v>171</v>
      </c>
      <c r="Y31" s="1036">
        <v>138</v>
      </c>
      <c r="Z31" s="1036">
        <v>141</v>
      </c>
      <c r="AA31" s="1036">
        <v>130</v>
      </c>
      <c r="AB31" s="1036">
        <v>125</v>
      </c>
      <c r="AC31" s="539">
        <f t="shared" si="2"/>
        <v>-3.8461538461538396</v>
      </c>
      <c r="AD31" s="539">
        <f t="shared" si="3"/>
        <v>-55.03597122302158</v>
      </c>
      <c r="AE31" s="294" t="s">
        <v>83</v>
      </c>
    </row>
    <row r="32" spans="1:31" ht="12.75">
      <c r="A32" s="114"/>
      <c r="B32" s="102" t="s">
        <v>85</v>
      </c>
      <c r="C32" s="148"/>
      <c r="D32" s="149"/>
      <c r="E32" s="1027">
        <v>731</v>
      </c>
      <c r="F32" s="1028">
        <v>614</v>
      </c>
      <c r="G32" s="1028">
        <v>677</v>
      </c>
      <c r="H32" s="1028">
        <v>584</v>
      </c>
      <c r="I32" s="1028">
        <v>633</v>
      </c>
      <c r="J32" s="1028">
        <v>660</v>
      </c>
      <c r="K32" s="1029">
        <v>616</v>
      </c>
      <c r="L32" s="1029">
        <v>788</v>
      </c>
      <c r="M32" s="1029">
        <v>819</v>
      </c>
      <c r="N32" s="1029">
        <v>647</v>
      </c>
      <c r="O32" s="1029">
        <v>628</v>
      </c>
      <c r="P32" s="1029">
        <v>614</v>
      </c>
      <c r="Q32" s="1029">
        <v>610</v>
      </c>
      <c r="R32" s="1029">
        <v>645</v>
      </c>
      <c r="S32" s="1029">
        <v>603</v>
      </c>
      <c r="T32" s="1028">
        <v>606</v>
      </c>
      <c r="U32" s="1024">
        <v>614</v>
      </c>
      <c r="V32" s="1024">
        <v>667</v>
      </c>
      <c r="W32" s="1024">
        <v>622</v>
      </c>
      <c r="X32" s="1024">
        <v>380</v>
      </c>
      <c r="Y32" s="1024">
        <v>353</v>
      </c>
      <c r="Z32" s="1024">
        <v>328</v>
      </c>
      <c r="AA32" s="1024">
        <v>352</v>
      </c>
      <c r="AB32" s="1024">
        <v>251</v>
      </c>
      <c r="AC32" s="139">
        <f t="shared" si="2"/>
        <v>-28.693181818181827</v>
      </c>
      <c r="AD32" s="139">
        <f t="shared" si="3"/>
        <v>-59.12052117263843</v>
      </c>
      <c r="AE32" s="102" t="s">
        <v>85</v>
      </c>
    </row>
    <row r="33" spans="1:31" ht="12.75">
      <c r="A33" s="114"/>
      <c r="B33" s="294" t="s">
        <v>87</v>
      </c>
      <c r="C33" s="537">
        <v>1055</v>
      </c>
      <c r="D33" s="538">
        <v>551</v>
      </c>
      <c r="E33" s="1033">
        <v>649</v>
      </c>
      <c r="F33" s="1034">
        <v>632</v>
      </c>
      <c r="G33" s="1034">
        <v>601</v>
      </c>
      <c r="H33" s="1034">
        <v>484</v>
      </c>
      <c r="I33" s="1034">
        <v>480</v>
      </c>
      <c r="J33" s="1034">
        <v>441</v>
      </c>
      <c r="K33" s="1035">
        <v>404</v>
      </c>
      <c r="L33" s="1035">
        <v>438</v>
      </c>
      <c r="M33" s="1035">
        <v>400</v>
      </c>
      <c r="N33" s="1035">
        <v>431</v>
      </c>
      <c r="O33" s="1035">
        <v>396</v>
      </c>
      <c r="P33" s="1035">
        <v>433</v>
      </c>
      <c r="Q33" s="1035">
        <v>415</v>
      </c>
      <c r="R33" s="1035">
        <v>379</v>
      </c>
      <c r="S33" s="1035">
        <v>375</v>
      </c>
      <c r="T33" s="1034">
        <v>379</v>
      </c>
      <c r="U33" s="1036">
        <v>336</v>
      </c>
      <c r="V33" s="1036">
        <v>380</v>
      </c>
      <c r="W33" s="1036">
        <v>344</v>
      </c>
      <c r="X33" s="1036">
        <v>279</v>
      </c>
      <c r="Y33" s="1036">
        <v>272</v>
      </c>
      <c r="Z33" s="1036">
        <v>292</v>
      </c>
      <c r="AA33" s="1036">
        <v>255</v>
      </c>
      <c r="AB33" s="1036">
        <v>258</v>
      </c>
      <c r="AC33" s="539">
        <f t="shared" si="2"/>
        <v>1.17647058823529</v>
      </c>
      <c r="AD33" s="539">
        <f t="shared" si="3"/>
        <v>-40.41570438799076</v>
      </c>
      <c r="AE33" s="294" t="s">
        <v>87</v>
      </c>
    </row>
    <row r="34" spans="1:31" ht="12.75">
      <c r="A34" s="114"/>
      <c r="B34" s="102" t="s">
        <v>88</v>
      </c>
      <c r="C34" s="140">
        <v>1307</v>
      </c>
      <c r="D34" s="141">
        <v>848</v>
      </c>
      <c r="E34" s="1032">
        <v>772</v>
      </c>
      <c r="F34" s="1028">
        <v>745</v>
      </c>
      <c r="G34" s="1028">
        <v>759</v>
      </c>
      <c r="H34" s="1028">
        <v>632</v>
      </c>
      <c r="I34" s="1028">
        <v>589</v>
      </c>
      <c r="J34" s="1028">
        <v>572</v>
      </c>
      <c r="K34" s="1029">
        <v>537</v>
      </c>
      <c r="L34" s="1029">
        <v>541</v>
      </c>
      <c r="M34" s="1029">
        <v>531</v>
      </c>
      <c r="N34" s="1029">
        <v>580</v>
      </c>
      <c r="O34" s="1029">
        <v>591</v>
      </c>
      <c r="P34" s="1029">
        <v>583</v>
      </c>
      <c r="Q34" s="1029">
        <v>560</v>
      </c>
      <c r="R34" s="1029">
        <v>529</v>
      </c>
      <c r="S34" s="1029">
        <v>480</v>
      </c>
      <c r="T34" s="1028">
        <v>440</v>
      </c>
      <c r="U34" s="1024">
        <v>445</v>
      </c>
      <c r="V34" s="1024">
        <v>471</v>
      </c>
      <c r="W34" s="1024">
        <v>397</v>
      </c>
      <c r="X34" s="1024">
        <v>358</v>
      </c>
      <c r="Y34" s="1024">
        <v>266</v>
      </c>
      <c r="Z34" s="1024">
        <v>319</v>
      </c>
      <c r="AA34" s="1024">
        <v>285</v>
      </c>
      <c r="AB34" s="1024">
        <v>260</v>
      </c>
      <c r="AC34" s="139">
        <f t="shared" si="2"/>
        <v>-8.771929824561411</v>
      </c>
      <c r="AD34" s="139">
        <f t="shared" si="3"/>
        <v>-55.40308747855918</v>
      </c>
      <c r="AE34" s="102" t="s">
        <v>88</v>
      </c>
    </row>
    <row r="35" spans="1:31" ht="12.75">
      <c r="A35" s="114"/>
      <c r="B35" s="294" t="s">
        <v>13</v>
      </c>
      <c r="C35" s="537">
        <v>7770</v>
      </c>
      <c r="D35" s="538">
        <v>6240</v>
      </c>
      <c r="E35" s="1033">
        <v>5402</v>
      </c>
      <c r="F35" s="1034">
        <v>4753</v>
      </c>
      <c r="G35" s="1034">
        <v>4379</v>
      </c>
      <c r="H35" s="1034">
        <v>3957</v>
      </c>
      <c r="I35" s="1034">
        <v>3807</v>
      </c>
      <c r="J35" s="1034">
        <v>3765</v>
      </c>
      <c r="K35" s="1035">
        <v>3740</v>
      </c>
      <c r="L35" s="1035">
        <v>3743</v>
      </c>
      <c r="M35" s="1035">
        <v>3581</v>
      </c>
      <c r="N35" s="1035">
        <v>3564</v>
      </c>
      <c r="O35" s="1035">
        <v>3580</v>
      </c>
      <c r="P35" s="1035">
        <v>3598</v>
      </c>
      <c r="Q35" s="1035">
        <v>3581</v>
      </c>
      <c r="R35" s="1035">
        <v>3658</v>
      </c>
      <c r="S35" s="1035">
        <v>3368</v>
      </c>
      <c r="T35" s="1034">
        <v>3336</v>
      </c>
      <c r="U35" s="1036">
        <v>3298</v>
      </c>
      <c r="V35" s="1036">
        <v>3059</v>
      </c>
      <c r="W35" s="1036">
        <v>2645</v>
      </c>
      <c r="X35" s="1036">
        <v>2337</v>
      </c>
      <c r="Y35" s="1036">
        <v>1905</v>
      </c>
      <c r="Z35" s="1036">
        <v>1960</v>
      </c>
      <c r="AA35" s="1036">
        <v>1802</v>
      </c>
      <c r="AB35" s="1036">
        <v>1770</v>
      </c>
      <c r="AC35" s="539">
        <f t="shared" si="2"/>
        <v>-1.7758046614872285</v>
      </c>
      <c r="AD35" s="539">
        <f t="shared" si="3"/>
        <v>-50.80600333518622</v>
      </c>
      <c r="AE35" s="294" t="s">
        <v>13</v>
      </c>
    </row>
    <row r="36" spans="1:32" ht="12.75">
      <c r="A36" s="114"/>
      <c r="B36" s="104" t="s">
        <v>310</v>
      </c>
      <c r="C36" s="138"/>
      <c r="D36" s="1020"/>
      <c r="E36" s="1021"/>
      <c r="F36" s="1022"/>
      <c r="G36" s="1022"/>
      <c r="H36" s="1022"/>
      <c r="I36" s="1022"/>
      <c r="J36" s="1022">
        <v>306</v>
      </c>
      <c r="K36" s="1022">
        <v>257</v>
      </c>
      <c r="L36" s="1022">
        <v>266</v>
      </c>
      <c r="M36" s="1022">
        <v>308</v>
      </c>
      <c r="N36" s="1022">
        <v>274</v>
      </c>
      <c r="O36" s="1022">
        <v>280</v>
      </c>
      <c r="P36" s="1022">
        <v>297</v>
      </c>
      <c r="Q36" s="1022">
        <v>250</v>
      </c>
      <c r="R36" s="1022">
        <v>264</v>
      </c>
      <c r="S36" s="1022">
        <v>315</v>
      </c>
      <c r="T36" s="1022">
        <v>307</v>
      </c>
      <c r="U36" s="1023">
        <v>277</v>
      </c>
      <c r="V36" s="1023">
        <v>384</v>
      </c>
      <c r="W36" s="1023">
        <v>303</v>
      </c>
      <c r="X36" s="1023">
        <v>378</v>
      </c>
      <c r="Y36" s="1023">
        <v>352</v>
      </c>
      <c r="Z36" s="1023">
        <v>322</v>
      </c>
      <c r="AA36" s="1023">
        <v>334</v>
      </c>
      <c r="AB36" s="1023">
        <v>295</v>
      </c>
      <c r="AC36" s="1037">
        <f t="shared" si="2"/>
        <v>-11.676646706586823</v>
      </c>
      <c r="AD36" s="1037">
        <f t="shared" si="3"/>
        <v>-0.6734006734006641</v>
      </c>
      <c r="AE36" s="104" t="s">
        <v>310</v>
      </c>
      <c r="AF36" s="106"/>
    </row>
    <row r="37" spans="1:31" ht="12.75">
      <c r="A37" s="114"/>
      <c r="B37" s="294" t="s">
        <v>244</v>
      </c>
      <c r="C37" s="541"/>
      <c r="D37" s="542"/>
      <c r="E37" s="1033"/>
      <c r="F37" s="1034"/>
      <c r="G37" s="1034"/>
      <c r="H37" s="1034"/>
      <c r="I37" s="1034"/>
      <c r="J37" s="1034"/>
      <c r="K37" s="1034"/>
      <c r="L37" s="1034"/>
      <c r="M37" s="1034"/>
      <c r="N37" s="1034"/>
      <c r="O37" s="1034"/>
      <c r="P37" s="1034"/>
      <c r="Q37" s="1034"/>
      <c r="R37" s="1034"/>
      <c r="S37" s="1034"/>
      <c r="T37" s="1034"/>
      <c r="U37" s="1034"/>
      <c r="V37" s="1034"/>
      <c r="W37" s="1034"/>
      <c r="X37" s="1034"/>
      <c r="Y37" s="1034">
        <v>95</v>
      </c>
      <c r="Z37" s="1034">
        <v>58</v>
      </c>
      <c r="AA37" s="1034">
        <v>46</v>
      </c>
      <c r="AB37" s="1034">
        <v>74</v>
      </c>
      <c r="AC37" s="539">
        <f t="shared" si="2"/>
        <v>60.86956521739131</v>
      </c>
      <c r="AD37" s="1038"/>
      <c r="AE37" s="294" t="s">
        <v>244</v>
      </c>
    </row>
    <row r="38" spans="1:32" ht="12.75">
      <c r="A38" s="114"/>
      <c r="B38" s="102" t="s">
        <v>149</v>
      </c>
      <c r="C38" s="151"/>
      <c r="D38" s="152"/>
      <c r="E38" s="1032"/>
      <c r="F38" s="1028"/>
      <c r="G38" s="1028"/>
      <c r="H38" s="1028"/>
      <c r="I38" s="1028"/>
      <c r="J38" s="1028"/>
      <c r="K38" s="1028"/>
      <c r="L38" s="1028"/>
      <c r="M38" s="1028"/>
      <c r="N38" s="1028"/>
      <c r="O38" s="1028">
        <v>162</v>
      </c>
      <c r="P38" s="1028">
        <v>107</v>
      </c>
      <c r="Q38" s="1028">
        <v>176</v>
      </c>
      <c r="R38" s="1028">
        <v>118</v>
      </c>
      <c r="S38" s="1028">
        <v>155</v>
      </c>
      <c r="T38" s="1028">
        <v>143</v>
      </c>
      <c r="U38" s="1028">
        <v>140</v>
      </c>
      <c r="V38" s="1028">
        <v>173</v>
      </c>
      <c r="W38" s="1028">
        <v>162</v>
      </c>
      <c r="X38" s="1028">
        <v>160</v>
      </c>
      <c r="Y38" s="1028">
        <v>162</v>
      </c>
      <c r="Z38" s="1028">
        <v>172</v>
      </c>
      <c r="AA38" s="1028">
        <v>132</v>
      </c>
      <c r="AB38" s="1028">
        <v>198</v>
      </c>
      <c r="AC38" s="139">
        <f t="shared" si="2"/>
        <v>50</v>
      </c>
      <c r="AD38" s="139">
        <f t="shared" si="3"/>
        <v>85.04672897196261</v>
      </c>
      <c r="AE38" s="102" t="s">
        <v>149</v>
      </c>
      <c r="AF38" s="199"/>
    </row>
    <row r="39" spans="1:31" ht="12.75">
      <c r="A39" s="114"/>
      <c r="B39" s="294" t="s">
        <v>245</v>
      </c>
      <c r="C39" s="541"/>
      <c r="D39" s="542"/>
      <c r="E39" s="1033"/>
      <c r="F39" s="1034"/>
      <c r="G39" s="1034"/>
      <c r="H39" s="1034"/>
      <c r="I39" s="1034"/>
      <c r="J39" s="1034"/>
      <c r="K39" s="1034"/>
      <c r="L39" s="1034"/>
      <c r="M39" s="1034"/>
      <c r="N39" s="1034"/>
      <c r="O39" s="1034"/>
      <c r="P39" s="1034"/>
      <c r="Q39" s="1034"/>
      <c r="R39" s="1034"/>
      <c r="S39" s="1034"/>
      <c r="T39" s="1034"/>
      <c r="U39" s="1034"/>
      <c r="V39" s="1034"/>
      <c r="W39" s="1034"/>
      <c r="X39" s="1034"/>
      <c r="Y39" s="1034">
        <v>656</v>
      </c>
      <c r="Z39" s="1034">
        <v>728</v>
      </c>
      <c r="AA39" s="1034">
        <v>668</v>
      </c>
      <c r="AB39" s="1034">
        <v>631</v>
      </c>
      <c r="AC39" s="539">
        <f t="shared" si="2"/>
        <v>-5.538922155688624</v>
      </c>
      <c r="AD39" s="1038"/>
      <c r="AE39" s="294" t="s">
        <v>245</v>
      </c>
    </row>
    <row r="40" spans="1:31" ht="12.75">
      <c r="A40" s="114"/>
      <c r="B40" s="102" t="s">
        <v>150</v>
      </c>
      <c r="C40" s="140">
        <v>3978</v>
      </c>
      <c r="D40" s="141">
        <v>4100</v>
      </c>
      <c r="E40" s="1032">
        <v>6317</v>
      </c>
      <c r="F40" s="1028">
        <v>6231</v>
      </c>
      <c r="G40" s="1028">
        <v>6214</v>
      </c>
      <c r="H40" s="1028">
        <v>6457</v>
      </c>
      <c r="I40" s="1028">
        <v>5942</v>
      </c>
      <c r="J40" s="1028">
        <v>6004</v>
      </c>
      <c r="K40" s="1028">
        <v>5428</v>
      </c>
      <c r="L40" s="1028">
        <v>5125</v>
      </c>
      <c r="M40" s="1028">
        <v>6083</v>
      </c>
      <c r="N40" s="1028">
        <v>5713</v>
      </c>
      <c r="O40" s="1028">
        <v>5510</v>
      </c>
      <c r="P40" s="1029">
        <v>4386</v>
      </c>
      <c r="Q40" s="1029">
        <v>4093</v>
      </c>
      <c r="R40" s="1029">
        <v>3946</v>
      </c>
      <c r="S40" s="1029">
        <v>4427</v>
      </c>
      <c r="T40" s="1028">
        <v>4505</v>
      </c>
      <c r="U40" s="1028">
        <v>4633</v>
      </c>
      <c r="V40" s="1039">
        <v>5007</v>
      </c>
      <c r="W40" s="1039">
        <v>4236</v>
      </c>
      <c r="X40" s="1039">
        <v>4324</v>
      </c>
      <c r="Y40" s="1039">
        <v>4045</v>
      </c>
      <c r="Z40" s="1039">
        <v>3835</v>
      </c>
      <c r="AA40" s="1039">
        <v>3750</v>
      </c>
      <c r="AB40" s="1039">
        <v>3685</v>
      </c>
      <c r="AC40" s="150">
        <f t="shared" si="2"/>
        <v>-1.7333333333333343</v>
      </c>
      <c r="AD40" s="150">
        <f t="shared" si="3"/>
        <v>-15.982672138622888</v>
      </c>
      <c r="AE40" s="102" t="s">
        <v>150</v>
      </c>
    </row>
    <row r="41" spans="1:31" ht="12.75">
      <c r="A41" s="114"/>
      <c r="B41" s="522" t="s">
        <v>151</v>
      </c>
      <c r="C41" s="1040"/>
      <c r="D41" s="1041"/>
      <c r="E41" s="1042">
        <v>24</v>
      </c>
      <c r="F41" s="1043">
        <v>27</v>
      </c>
      <c r="G41" s="1043">
        <v>21</v>
      </c>
      <c r="H41" s="1043">
        <v>17</v>
      </c>
      <c r="I41" s="1043">
        <v>12</v>
      </c>
      <c r="J41" s="1043">
        <v>24</v>
      </c>
      <c r="K41" s="1043">
        <v>10</v>
      </c>
      <c r="L41" s="1043">
        <v>15</v>
      </c>
      <c r="M41" s="1043">
        <v>27</v>
      </c>
      <c r="N41" s="1043">
        <v>21</v>
      </c>
      <c r="O41" s="1043">
        <v>32</v>
      </c>
      <c r="P41" s="1043">
        <v>24</v>
      </c>
      <c r="Q41" s="1043">
        <v>29</v>
      </c>
      <c r="R41" s="1043">
        <v>23</v>
      </c>
      <c r="S41" s="1043">
        <v>23</v>
      </c>
      <c r="T41" s="1043">
        <v>19</v>
      </c>
      <c r="U41" s="1043">
        <v>31</v>
      </c>
      <c r="V41" s="1043">
        <v>15</v>
      </c>
      <c r="W41" s="1043">
        <v>12</v>
      </c>
      <c r="X41" s="1034">
        <v>17</v>
      </c>
      <c r="Y41" s="1034">
        <v>8</v>
      </c>
      <c r="Z41" s="1034">
        <v>12</v>
      </c>
      <c r="AA41" s="1034">
        <v>9</v>
      </c>
      <c r="AB41" s="1034">
        <v>15</v>
      </c>
      <c r="AC41" s="539">
        <f t="shared" si="2"/>
        <v>66.66666666666669</v>
      </c>
      <c r="AD41" s="539">
        <f t="shared" si="3"/>
        <v>-37.5</v>
      </c>
      <c r="AE41" s="522" t="s">
        <v>151</v>
      </c>
    </row>
    <row r="42" spans="1:31" ht="12.75">
      <c r="A42" s="114"/>
      <c r="B42" s="102" t="s">
        <v>152</v>
      </c>
      <c r="C42" s="151"/>
      <c r="D42" s="152"/>
      <c r="E42" s="1032">
        <v>332</v>
      </c>
      <c r="F42" s="1028"/>
      <c r="G42" s="1044"/>
      <c r="H42" s="1028"/>
      <c r="I42" s="1028"/>
      <c r="J42" s="1028">
        <v>305</v>
      </c>
      <c r="K42" s="1028">
        <v>255</v>
      </c>
      <c r="L42" s="1028">
        <v>303</v>
      </c>
      <c r="M42" s="1028">
        <v>352</v>
      </c>
      <c r="N42" s="1028">
        <v>304</v>
      </c>
      <c r="O42" s="1028">
        <v>341</v>
      </c>
      <c r="P42" s="1028">
        <v>275</v>
      </c>
      <c r="Q42" s="1028">
        <v>310</v>
      </c>
      <c r="R42" s="1028">
        <v>280</v>
      </c>
      <c r="S42" s="1028">
        <v>257</v>
      </c>
      <c r="T42" s="1028">
        <v>224</v>
      </c>
      <c r="U42" s="1028">
        <v>242</v>
      </c>
      <c r="V42" s="1028">
        <v>233</v>
      </c>
      <c r="W42" s="1028">
        <v>260</v>
      </c>
      <c r="X42" s="1028">
        <v>214</v>
      </c>
      <c r="Y42" s="1028">
        <v>208</v>
      </c>
      <c r="Z42" s="1028">
        <v>168</v>
      </c>
      <c r="AA42" s="1028">
        <v>145</v>
      </c>
      <c r="AB42" s="1028">
        <v>187</v>
      </c>
      <c r="AC42" s="139">
        <f t="shared" si="2"/>
        <v>28.965517241379303</v>
      </c>
      <c r="AD42" s="139">
        <f t="shared" si="3"/>
        <v>-32</v>
      </c>
      <c r="AE42" s="102" t="s">
        <v>152</v>
      </c>
    </row>
    <row r="43" spans="1:31" ht="12.75">
      <c r="A43" s="114"/>
      <c r="B43" s="477" t="s">
        <v>153</v>
      </c>
      <c r="C43" s="1045">
        <v>1694</v>
      </c>
      <c r="D43" s="1046">
        <v>1246</v>
      </c>
      <c r="E43" s="1047">
        <v>954</v>
      </c>
      <c r="F43" s="1048">
        <v>860</v>
      </c>
      <c r="G43" s="1048">
        <v>834</v>
      </c>
      <c r="H43" s="1048">
        <v>723</v>
      </c>
      <c r="I43" s="1048">
        <v>679</v>
      </c>
      <c r="J43" s="1048">
        <v>692</v>
      </c>
      <c r="K43" s="1048">
        <v>616</v>
      </c>
      <c r="L43" s="1048">
        <v>587</v>
      </c>
      <c r="M43" s="1048">
        <v>597</v>
      </c>
      <c r="N43" s="1048">
        <v>583</v>
      </c>
      <c r="O43" s="1048">
        <v>592</v>
      </c>
      <c r="P43" s="1048">
        <v>544</v>
      </c>
      <c r="Q43" s="1048">
        <v>513</v>
      </c>
      <c r="R43" s="1048">
        <v>546</v>
      </c>
      <c r="S43" s="1048">
        <v>510</v>
      </c>
      <c r="T43" s="1048">
        <v>409</v>
      </c>
      <c r="U43" s="1049">
        <v>370</v>
      </c>
      <c r="V43" s="1049">
        <v>384</v>
      </c>
      <c r="W43" s="1049">
        <v>357</v>
      </c>
      <c r="X43" s="1049">
        <v>349</v>
      </c>
      <c r="Y43" s="1049">
        <v>328</v>
      </c>
      <c r="Z43" s="1049">
        <v>320</v>
      </c>
      <c r="AA43" s="1049">
        <v>339</v>
      </c>
      <c r="AB43" s="1049">
        <v>269</v>
      </c>
      <c r="AC43" s="540">
        <f t="shared" si="2"/>
        <v>-20.64896755162242</v>
      </c>
      <c r="AD43" s="540">
        <f t="shared" si="3"/>
        <v>-50.55147058823529</v>
      </c>
      <c r="AE43" s="477" t="s">
        <v>153</v>
      </c>
    </row>
    <row r="44" spans="2:31" ht="24.75" customHeight="1">
      <c r="B44" s="1132" t="s">
        <v>167</v>
      </c>
      <c r="C44" s="1132"/>
      <c r="D44" s="1132"/>
      <c r="E44" s="1132"/>
      <c r="F44" s="1132"/>
      <c r="G44" s="1132"/>
      <c r="H44" s="1132"/>
      <c r="I44" s="1132"/>
      <c r="J44" s="1132"/>
      <c r="K44" s="1132"/>
      <c r="L44" s="1132"/>
      <c r="M44" s="1134"/>
      <c r="N44" s="1134"/>
      <c r="O44" s="1134"/>
      <c r="P44" s="1134"/>
      <c r="Q44" s="1134"/>
      <c r="R44" s="1134"/>
      <c r="S44" s="1134"/>
      <c r="T44" s="1134"/>
      <c r="U44" s="1134"/>
      <c r="V44" s="1134"/>
      <c r="W44" s="1134"/>
      <c r="X44" s="1134"/>
      <c r="Y44" s="1134"/>
      <c r="Z44" s="1134"/>
      <c r="AA44" s="1134"/>
      <c r="AB44" s="1134"/>
      <c r="AC44" s="1134"/>
      <c r="AD44" s="1134"/>
      <c r="AE44" s="1134"/>
    </row>
    <row r="45" spans="2:31" ht="24" customHeight="1">
      <c r="B45" s="1132" t="s">
        <v>168</v>
      </c>
      <c r="C45" s="1132"/>
      <c r="D45" s="1132"/>
      <c r="E45" s="1132"/>
      <c r="F45" s="1132"/>
      <c r="G45" s="1132"/>
      <c r="H45" s="1132"/>
      <c r="I45" s="1134"/>
      <c r="J45" s="1134"/>
      <c r="K45" s="1134"/>
      <c r="L45" s="1134"/>
      <c r="M45" s="1134"/>
      <c r="N45" s="1134"/>
      <c r="O45" s="1134"/>
      <c r="P45" s="1134"/>
      <c r="Q45" s="1134"/>
      <c r="R45" s="1134"/>
      <c r="S45" s="1134"/>
      <c r="T45" s="1134"/>
      <c r="U45" s="1134"/>
      <c r="V45" s="1134"/>
      <c r="W45" s="1134"/>
      <c r="X45" s="1134"/>
      <c r="Y45" s="1134"/>
      <c r="Z45" s="1134"/>
      <c r="AA45" s="1134"/>
      <c r="AB45" s="1134"/>
      <c r="AC45" s="1134"/>
      <c r="AD45" s="1134"/>
      <c r="AE45" s="1134"/>
    </row>
    <row r="46" ht="23.25" customHeight="1">
      <c r="B46" s="118"/>
    </row>
  </sheetData>
  <sheetProtection/>
  <mergeCells count="3">
    <mergeCell ref="B2:AE2"/>
    <mergeCell ref="B44:AE44"/>
    <mergeCell ref="B45:AE4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51"/>
  <sheetViews>
    <sheetView zoomScalePageLayoutView="0" workbookViewId="0" topLeftCell="A1">
      <selection activeCell="N47" sqref="N47"/>
    </sheetView>
  </sheetViews>
  <sheetFormatPr defaultColWidth="9.140625" defaultRowHeight="12.75"/>
  <cols>
    <col min="1" max="1" width="1.1484375" style="114" customWidth="1"/>
    <col min="2" max="2" width="5.00390625" style="0" customWidth="1"/>
    <col min="3" max="3" width="9.7109375" style="0" customWidth="1"/>
    <col min="4" max="4" width="2.7109375" style="0" customWidth="1"/>
    <col min="5" max="5" width="9.7109375" style="0" customWidth="1"/>
    <col min="6" max="6" width="2.7109375" style="0" customWidth="1"/>
    <col min="7" max="7" width="9.7109375" style="0" customWidth="1"/>
    <col min="8" max="8" width="2.7109375" style="0" customWidth="1"/>
    <col min="9" max="9" width="5.7109375" style="0" customWidth="1"/>
    <col min="10" max="10" width="1.7109375" style="0" customWidth="1"/>
    <col min="11" max="11" width="6.7109375" style="0" bestFit="1" customWidth="1"/>
    <col min="12" max="12" width="2.7109375" style="0" customWidth="1"/>
    <col min="13" max="13" width="5.28125" style="0" customWidth="1"/>
    <col min="14" max="14" width="9.140625" style="0" customWidth="1"/>
  </cols>
  <sheetData>
    <row r="1" ht="14.25" customHeight="1">
      <c r="M1" s="548" t="s">
        <v>97</v>
      </c>
    </row>
    <row r="2" spans="1:13" s="229" customFormat="1" ht="30" customHeight="1">
      <c r="A2" s="230"/>
      <c r="B2" s="1059" t="s">
        <v>190</v>
      </c>
      <c r="C2" s="1059"/>
      <c r="D2" s="1059"/>
      <c r="E2" s="1059"/>
      <c r="F2" s="1059"/>
      <c r="G2" s="1059"/>
      <c r="H2" s="1059"/>
      <c r="I2" s="1059"/>
      <c r="J2" s="1059"/>
      <c r="K2" s="1059"/>
      <c r="L2" s="1059"/>
      <c r="M2" s="1059"/>
    </row>
    <row r="3" spans="2:12" ht="14.25" customHeight="1">
      <c r="B3" s="123"/>
      <c r="C3" s="1060" t="s">
        <v>17</v>
      </c>
      <c r="D3" s="1061"/>
      <c r="E3" s="1060" t="s">
        <v>191</v>
      </c>
      <c r="F3" s="1061"/>
      <c r="G3" s="1064" t="s">
        <v>192</v>
      </c>
      <c r="H3" s="1065"/>
      <c r="I3" s="1068" t="s">
        <v>193</v>
      </c>
      <c r="J3" s="1069"/>
      <c r="K3" s="1069"/>
      <c r="L3" s="1070"/>
    </row>
    <row r="4" spans="2:12" ht="10.5" customHeight="1">
      <c r="B4" s="123"/>
      <c r="C4" s="1062"/>
      <c r="D4" s="1063"/>
      <c r="E4" s="1062"/>
      <c r="F4" s="1063"/>
      <c r="G4" s="1066"/>
      <c r="H4" s="1067"/>
      <c r="I4" s="1071" t="s">
        <v>305</v>
      </c>
      <c r="J4" s="1072"/>
      <c r="K4" s="1072"/>
      <c r="L4" s="1073"/>
    </row>
    <row r="5" spans="2:12" ht="12" customHeight="1">
      <c r="B5" s="123"/>
      <c r="C5" s="391" t="s">
        <v>306</v>
      </c>
      <c r="D5" s="392"/>
      <c r="E5" s="393" t="s">
        <v>0</v>
      </c>
      <c r="F5" s="389"/>
      <c r="G5" s="394" t="s">
        <v>307</v>
      </c>
      <c r="H5" s="390"/>
      <c r="I5" s="1071" t="s">
        <v>308</v>
      </c>
      <c r="J5" s="1072"/>
      <c r="K5" s="1072"/>
      <c r="L5" s="1073"/>
    </row>
    <row r="6" spans="2:12" ht="12.75">
      <c r="B6" s="123"/>
      <c r="C6" s="395"/>
      <c r="D6" s="396"/>
      <c r="E6" s="397" t="s">
        <v>309</v>
      </c>
      <c r="F6" s="398"/>
      <c r="G6" s="394">
        <v>2013</v>
      </c>
      <c r="H6" s="390"/>
      <c r="I6" s="399">
        <v>2012</v>
      </c>
      <c r="J6" s="400"/>
      <c r="K6" s="401">
        <v>2013</v>
      </c>
      <c r="L6" s="309"/>
    </row>
    <row r="7" spans="2:13" ht="15" customHeight="1">
      <c r="B7" s="129" t="s">
        <v>260</v>
      </c>
      <c r="C7" s="559">
        <f>SUM(C10:C37)</f>
        <v>4381.411999999999</v>
      </c>
      <c r="D7" s="402"/>
      <c r="E7" s="560">
        <f>SUM(E10:E37)</f>
        <v>505.48860600000006</v>
      </c>
      <c r="F7" s="403"/>
      <c r="G7" s="559">
        <f>SUM(G10:G37)</f>
        <v>13528.5389</v>
      </c>
      <c r="H7" s="404"/>
      <c r="I7" s="405">
        <v>100</v>
      </c>
      <c r="J7" s="406"/>
      <c r="K7" s="407">
        <v>100</v>
      </c>
      <c r="L7" s="408"/>
      <c r="M7" s="129" t="s">
        <v>260</v>
      </c>
    </row>
    <row r="8" spans="2:13" ht="15" customHeight="1">
      <c r="B8" s="133" t="s">
        <v>89</v>
      </c>
      <c r="C8" s="561">
        <f>SUM(C10,C13,C14,C16,C17,C18,C19,C21,C25,C28,C29,C31,C35,C36,C37)</f>
        <v>3236.8820000000005</v>
      </c>
      <c r="D8" s="409"/>
      <c r="E8" s="410">
        <f>SUM(E10,E13,E14,E16,E17,E18,E19,E21,E25,E28,E29,E31,E35,E36,E37)</f>
        <v>400.14533200000005</v>
      </c>
      <c r="F8" s="411"/>
      <c r="G8" s="561">
        <f>SUM(G10,G13,G14,G16,G17,G18,G19,G21,G25,G28,G29,G31,G35,G36,G37)</f>
        <v>12433.5042</v>
      </c>
      <c r="H8" s="412"/>
      <c r="I8" s="413">
        <v>109.53859510116209</v>
      </c>
      <c r="J8" s="414"/>
      <c r="K8" s="414">
        <v>109.12958227462246</v>
      </c>
      <c r="L8" s="415"/>
      <c r="M8" s="133" t="s">
        <v>89</v>
      </c>
    </row>
    <row r="9" spans="2:13" ht="15" customHeight="1">
      <c r="B9" s="134" t="s">
        <v>261</v>
      </c>
      <c r="C9" s="562">
        <f>C7-C8</f>
        <v>1144.5299999999988</v>
      </c>
      <c r="D9" s="416"/>
      <c r="E9" s="417">
        <f>E7-E8</f>
        <v>105.34327400000001</v>
      </c>
      <c r="F9" s="418"/>
      <c r="G9" s="562">
        <f>G7-G8</f>
        <v>1095.0347000000002</v>
      </c>
      <c r="H9" s="419"/>
      <c r="I9" s="563">
        <v>63.9516421855162</v>
      </c>
      <c r="J9" s="420"/>
      <c r="K9" s="564">
        <v>65.28272354403396</v>
      </c>
      <c r="L9" s="421"/>
      <c r="M9" s="134" t="s">
        <v>261</v>
      </c>
    </row>
    <row r="10" spans="2:13" ht="15" customHeight="1">
      <c r="B10" s="102" t="s">
        <v>60</v>
      </c>
      <c r="C10" s="422">
        <v>30.528</v>
      </c>
      <c r="D10" s="423"/>
      <c r="E10" s="565">
        <v>11.203992</v>
      </c>
      <c r="F10" s="425"/>
      <c r="G10" s="441">
        <v>395.2621</v>
      </c>
      <c r="H10" s="426"/>
      <c r="I10" s="427">
        <v>118.38038321228743</v>
      </c>
      <c r="J10" s="427"/>
      <c r="K10" s="427">
        <v>117.53951704769898</v>
      </c>
      <c r="L10" s="428"/>
      <c r="M10" s="102" t="s">
        <v>60</v>
      </c>
    </row>
    <row r="11" spans="2:13" ht="15" customHeight="1">
      <c r="B11" s="133" t="s">
        <v>101</v>
      </c>
      <c r="C11" s="429">
        <v>111.002</v>
      </c>
      <c r="D11" s="430"/>
      <c r="E11" s="431">
        <v>7.245677</v>
      </c>
      <c r="F11" s="432"/>
      <c r="G11" s="443">
        <v>41.0479</v>
      </c>
      <c r="H11" s="433"/>
      <c r="I11" s="434">
        <v>44.78894484804326</v>
      </c>
      <c r="J11" s="434"/>
      <c r="K11" s="434">
        <v>44.476303298408425</v>
      </c>
      <c r="L11" s="435"/>
      <c r="M11" s="133" t="s">
        <v>101</v>
      </c>
    </row>
    <row r="12" spans="2:13" ht="15" customHeight="1">
      <c r="B12" s="102" t="s">
        <v>61</v>
      </c>
      <c r="C12" s="422">
        <v>78.868</v>
      </c>
      <c r="D12" s="423"/>
      <c r="E12" s="424">
        <v>10.512419</v>
      </c>
      <c r="F12" s="425"/>
      <c r="G12" s="441">
        <v>157.2848</v>
      </c>
      <c r="H12" s="426"/>
      <c r="I12" s="427">
        <v>81.95558176062175</v>
      </c>
      <c r="J12" s="427"/>
      <c r="K12" s="427">
        <v>82.03873602486443</v>
      </c>
      <c r="L12" s="428"/>
      <c r="M12" s="102" t="s">
        <v>61</v>
      </c>
    </row>
    <row r="13" spans="2:13" ht="15" customHeight="1">
      <c r="B13" s="133" t="s">
        <v>14</v>
      </c>
      <c r="C13" s="429">
        <v>43.098</v>
      </c>
      <c r="D13" s="430"/>
      <c r="E13" s="431">
        <v>5.627235</v>
      </c>
      <c r="F13" s="432"/>
      <c r="G13" s="443">
        <v>252.9389</v>
      </c>
      <c r="H13" s="433"/>
      <c r="I13" s="434">
        <v>124.58030074110651</v>
      </c>
      <c r="J13" s="434"/>
      <c r="K13" s="434">
        <v>123.77978756531498</v>
      </c>
      <c r="L13" s="435"/>
      <c r="M13" s="133" t="s">
        <v>14</v>
      </c>
    </row>
    <row r="14" spans="2:13" ht="15" customHeight="1">
      <c r="B14" s="102" t="s">
        <v>63</v>
      </c>
      <c r="C14" s="422">
        <v>357.104</v>
      </c>
      <c r="D14" s="423"/>
      <c r="E14" s="565">
        <v>80.78</v>
      </c>
      <c r="F14" s="425"/>
      <c r="G14" s="566">
        <v>2809.48</v>
      </c>
      <c r="H14" s="426"/>
      <c r="I14" s="427">
        <v>124.38437096778796</v>
      </c>
      <c r="J14" s="427"/>
      <c r="K14" s="427">
        <v>124.06789760426342</v>
      </c>
      <c r="L14" s="428"/>
      <c r="M14" s="102" t="s">
        <v>63</v>
      </c>
    </row>
    <row r="15" spans="2:13" ht="15" customHeight="1">
      <c r="B15" s="133" t="s">
        <v>64</v>
      </c>
      <c r="C15" s="429">
        <v>45.227</v>
      </c>
      <c r="D15" s="430"/>
      <c r="E15" s="431">
        <v>1.315819</v>
      </c>
      <c r="F15" s="432"/>
      <c r="G15" s="443">
        <v>18.738799999999998</v>
      </c>
      <c r="H15" s="433"/>
      <c r="I15" s="434">
        <v>70.67906751046745</v>
      </c>
      <c r="J15" s="434"/>
      <c r="K15" s="434">
        <v>73.00739028712451</v>
      </c>
      <c r="L15" s="435"/>
      <c r="M15" s="133" t="s">
        <v>64</v>
      </c>
    </row>
    <row r="16" spans="2:13" ht="15" customHeight="1">
      <c r="B16" s="102" t="s">
        <v>68</v>
      </c>
      <c r="C16" s="422">
        <v>70.282</v>
      </c>
      <c r="D16" s="423"/>
      <c r="E16" s="565">
        <v>4.604029</v>
      </c>
      <c r="F16" s="425"/>
      <c r="G16" s="441">
        <v>174.79129999999998</v>
      </c>
      <c r="H16" s="426"/>
      <c r="I16" s="427">
        <v>129.1187671278385</v>
      </c>
      <c r="J16" s="427"/>
      <c r="K16" s="427">
        <v>129.15802566391284</v>
      </c>
      <c r="L16" s="428"/>
      <c r="M16" s="102" t="s">
        <v>68</v>
      </c>
    </row>
    <row r="17" spans="2:13" ht="15" customHeight="1">
      <c r="B17" s="133" t="s">
        <v>15</v>
      </c>
      <c r="C17" s="429">
        <v>131.957</v>
      </c>
      <c r="D17" s="430"/>
      <c r="E17" s="567">
        <v>10.992589</v>
      </c>
      <c r="F17" s="432"/>
      <c r="G17" s="568">
        <v>182.438</v>
      </c>
      <c r="H17" s="433"/>
      <c r="I17" s="444">
        <v>73.58939822345383</v>
      </c>
      <c r="J17" s="444"/>
      <c r="K17" s="444">
        <v>72.5643140513454</v>
      </c>
      <c r="L17" s="435"/>
      <c r="M17" s="133" t="s">
        <v>15</v>
      </c>
    </row>
    <row r="18" spans="2:13" ht="15" customHeight="1">
      <c r="B18" s="102" t="s">
        <v>66</v>
      </c>
      <c r="C18" s="422">
        <v>505.997</v>
      </c>
      <c r="D18" s="423"/>
      <c r="E18" s="565">
        <v>46.50776</v>
      </c>
      <c r="F18" s="425"/>
      <c r="G18" s="569">
        <v>1049.181</v>
      </c>
      <c r="H18" s="426"/>
      <c r="I18" s="442">
        <v>93.68841049503308</v>
      </c>
      <c r="J18" s="442"/>
      <c r="K18" s="442">
        <v>93.56249846683353</v>
      </c>
      <c r="L18" s="428"/>
      <c r="M18" s="102" t="s">
        <v>66</v>
      </c>
    </row>
    <row r="19" spans="2:13" ht="15" customHeight="1">
      <c r="B19" s="133" t="s">
        <v>67</v>
      </c>
      <c r="C19" s="429">
        <v>543.965</v>
      </c>
      <c r="D19" s="430"/>
      <c r="E19" s="567">
        <v>63.928608</v>
      </c>
      <c r="F19" s="432"/>
      <c r="G19" s="570">
        <v>2113.687</v>
      </c>
      <c r="H19" s="433"/>
      <c r="I19" s="434">
        <v>107.0358934688642</v>
      </c>
      <c r="J19" s="434"/>
      <c r="K19" s="434">
        <v>106.46975126295544</v>
      </c>
      <c r="L19" s="435"/>
      <c r="M19" s="133" t="s">
        <v>67</v>
      </c>
    </row>
    <row r="20" spans="2:13" ht="15" customHeight="1">
      <c r="B20" s="102" t="s">
        <v>148</v>
      </c>
      <c r="C20" s="422">
        <v>56.594</v>
      </c>
      <c r="D20" s="423"/>
      <c r="E20" s="565">
        <v>4.2467</v>
      </c>
      <c r="F20" s="425"/>
      <c r="G20" s="441">
        <v>43.5615</v>
      </c>
      <c r="H20" s="426"/>
      <c r="I20" s="427">
        <v>60.31987554203968</v>
      </c>
      <c r="J20" s="427"/>
      <c r="K20" s="427">
        <v>60.379994969554275</v>
      </c>
      <c r="L20" s="428"/>
      <c r="M20" s="102" t="s">
        <v>148</v>
      </c>
    </row>
    <row r="21" spans="2:13" ht="15" customHeight="1">
      <c r="B21" s="133" t="s">
        <v>69</v>
      </c>
      <c r="C21" s="429">
        <v>301.336</v>
      </c>
      <c r="D21" s="430"/>
      <c r="E21" s="431">
        <v>60.782668</v>
      </c>
      <c r="F21" s="432"/>
      <c r="G21" s="570">
        <v>1618.904</v>
      </c>
      <c r="H21" s="433"/>
      <c r="I21" s="434">
        <v>102.34554510053813</v>
      </c>
      <c r="J21" s="434"/>
      <c r="K21" s="434">
        <v>99.74475675081635</v>
      </c>
      <c r="L21" s="435"/>
      <c r="M21" s="133" t="s">
        <v>69</v>
      </c>
    </row>
    <row r="22" spans="2:13" ht="15" customHeight="1">
      <c r="B22" s="102" t="s">
        <v>71</v>
      </c>
      <c r="C22" s="422">
        <v>9.25</v>
      </c>
      <c r="D22" s="423"/>
      <c r="E22" s="565">
        <v>0.858</v>
      </c>
      <c r="F22" s="425"/>
      <c r="G22" s="571">
        <v>18.1189</v>
      </c>
      <c r="H22" s="426"/>
      <c r="I22" s="427">
        <v>93.0356684323955</v>
      </c>
      <c r="J22" s="427"/>
      <c r="K22" s="442">
        <v>88.20243049423468</v>
      </c>
      <c r="L22" s="428"/>
      <c r="M22" s="102" t="s">
        <v>71</v>
      </c>
    </row>
    <row r="23" spans="2:13" ht="15" customHeight="1">
      <c r="B23" s="133" t="s">
        <v>72</v>
      </c>
      <c r="C23" s="429">
        <v>64.559</v>
      </c>
      <c r="D23" s="430"/>
      <c r="E23" s="431">
        <v>2.001468</v>
      </c>
      <c r="F23" s="432"/>
      <c r="G23" s="443">
        <v>23.265</v>
      </c>
      <c r="H23" s="433"/>
      <c r="I23" s="434">
        <v>60.04643846894317</v>
      </c>
      <c r="J23" s="434"/>
      <c r="K23" s="434">
        <v>63.588287809443344</v>
      </c>
      <c r="L23" s="435"/>
      <c r="M23" s="133" t="s">
        <v>72</v>
      </c>
    </row>
    <row r="24" spans="2:13" ht="15" customHeight="1">
      <c r="B24" s="102" t="s">
        <v>73</v>
      </c>
      <c r="C24" s="422">
        <v>65.3</v>
      </c>
      <c r="D24" s="423"/>
      <c r="E24" s="424">
        <v>2.943472</v>
      </c>
      <c r="F24" s="425"/>
      <c r="G24" s="441">
        <v>34.9556</v>
      </c>
      <c r="H24" s="426"/>
      <c r="I24" s="427">
        <v>68.74163807822413</v>
      </c>
      <c r="J24" s="427"/>
      <c r="K24" s="427">
        <v>73</v>
      </c>
      <c r="L24" s="428"/>
      <c r="M24" s="102" t="s">
        <v>73</v>
      </c>
    </row>
    <row r="25" spans="2:13" ht="15" customHeight="1">
      <c r="B25" s="133" t="s">
        <v>76</v>
      </c>
      <c r="C25" s="429">
        <v>2.586</v>
      </c>
      <c r="D25" s="430"/>
      <c r="E25" s="431">
        <v>0.54968</v>
      </c>
      <c r="F25" s="432"/>
      <c r="G25" s="443">
        <v>45.2881</v>
      </c>
      <c r="H25" s="433"/>
      <c r="I25" s="434">
        <v>262.6288485902341</v>
      </c>
      <c r="J25" s="434"/>
      <c r="K25" s="434">
        <v>257.40759246675725</v>
      </c>
      <c r="L25" s="435"/>
      <c r="M25" s="133" t="s">
        <v>76</v>
      </c>
    </row>
    <row r="26" spans="2:13" ht="15" customHeight="1">
      <c r="B26" s="102" t="s">
        <v>77</v>
      </c>
      <c r="C26" s="422">
        <v>93.03</v>
      </c>
      <c r="D26" s="423"/>
      <c r="E26" s="565">
        <v>9.879</v>
      </c>
      <c r="F26" s="425"/>
      <c r="G26" s="441">
        <v>100.5365</v>
      </c>
      <c r="H26" s="426"/>
      <c r="I26" s="427">
        <v>64.27828621622756</v>
      </c>
      <c r="J26" s="427"/>
      <c r="K26" s="427">
        <v>65.97026705670753</v>
      </c>
      <c r="L26" s="428"/>
      <c r="M26" s="102" t="s">
        <v>77</v>
      </c>
    </row>
    <row r="27" spans="2:13" ht="15" customHeight="1">
      <c r="B27" s="133" t="s">
        <v>78</v>
      </c>
      <c r="C27" s="429">
        <v>0.316</v>
      </c>
      <c r="D27" s="430"/>
      <c r="E27" s="431">
        <v>0.425384</v>
      </c>
      <c r="F27" s="432"/>
      <c r="G27" s="443">
        <v>7.5439</v>
      </c>
      <c r="H27" s="433"/>
      <c r="I27" s="434">
        <v>84.31332788658604</v>
      </c>
      <c r="J27" s="434"/>
      <c r="K27" s="434">
        <v>85.5355016805119</v>
      </c>
      <c r="L27" s="435"/>
      <c r="M27" s="133" t="s">
        <v>78</v>
      </c>
    </row>
    <row r="28" spans="2:13" ht="15" customHeight="1">
      <c r="B28" s="102" t="s">
        <v>16</v>
      </c>
      <c r="C28" s="422">
        <v>41.526</v>
      </c>
      <c r="D28" s="423"/>
      <c r="E28" s="424">
        <v>16.829289</v>
      </c>
      <c r="F28" s="425"/>
      <c r="G28" s="571">
        <v>642.851</v>
      </c>
      <c r="H28" s="426"/>
      <c r="I28" s="442">
        <v>131.69232702409317</v>
      </c>
      <c r="J28" s="442"/>
      <c r="K28" s="442">
        <v>130.50876533678158</v>
      </c>
      <c r="L28" s="428"/>
      <c r="M28" s="102" t="s">
        <v>16</v>
      </c>
    </row>
    <row r="29" spans="2:13" ht="15" customHeight="1">
      <c r="B29" s="133" t="s">
        <v>81</v>
      </c>
      <c r="C29" s="429">
        <v>83.879</v>
      </c>
      <c r="D29" s="430"/>
      <c r="E29" s="431">
        <v>8.507786</v>
      </c>
      <c r="F29" s="432"/>
      <c r="G29" s="443">
        <v>322.59459999999996</v>
      </c>
      <c r="H29" s="433"/>
      <c r="I29" s="434">
        <v>128.33891441889932</v>
      </c>
      <c r="J29" s="434"/>
      <c r="K29" s="434">
        <v>127.44704567714291</v>
      </c>
      <c r="L29" s="435"/>
      <c r="M29" s="133" t="s">
        <v>81</v>
      </c>
    </row>
    <row r="30" spans="2:13" ht="15" customHeight="1">
      <c r="B30" s="102" t="s">
        <v>80</v>
      </c>
      <c r="C30" s="422">
        <v>312.685</v>
      </c>
      <c r="D30" s="423"/>
      <c r="E30" s="424">
        <v>38.495659</v>
      </c>
      <c r="F30" s="425"/>
      <c r="G30" s="441">
        <v>395.9624</v>
      </c>
      <c r="H30" s="426"/>
      <c r="I30" s="427">
        <v>65.34455489722399</v>
      </c>
      <c r="J30" s="427"/>
      <c r="K30" s="427">
        <v>66.9754586174029</v>
      </c>
      <c r="L30" s="428"/>
      <c r="M30" s="102" t="s">
        <v>80</v>
      </c>
    </row>
    <row r="31" spans="2:13" ht="15" customHeight="1">
      <c r="B31" s="133" t="s">
        <v>92</v>
      </c>
      <c r="C31" s="429">
        <v>92.09</v>
      </c>
      <c r="D31" s="430"/>
      <c r="E31" s="567">
        <v>10.427301</v>
      </c>
      <c r="F31" s="432"/>
      <c r="G31" s="568">
        <v>171.211</v>
      </c>
      <c r="H31" s="433"/>
      <c r="I31" s="444">
        <v>76.11883927993543</v>
      </c>
      <c r="J31" s="444"/>
      <c r="K31" s="444">
        <v>78.60734052706437</v>
      </c>
      <c r="L31" s="435"/>
      <c r="M31" s="133" t="s">
        <v>92</v>
      </c>
    </row>
    <row r="32" spans="2:13" ht="15" customHeight="1">
      <c r="B32" s="102" t="s">
        <v>102</v>
      </c>
      <c r="C32" s="422">
        <v>238.391</v>
      </c>
      <c r="D32" s="423"/>
      <c r="E32" s="565">
        <v>19.942642</v>
      </c>
      <c r="F32" s="425"/>
      <c r="G32" s="571">
        <v>144.28220000000002</v>
      </c>
      <c r="H32" s="426"/>
      <c r="I32" s="427">
        <v>52.6436691158177</v>
      </c>
      <c r="J32" s="427"/>
      <c r="K32" s="442">
        <v>54.195027403439454</v>
      </c>
      <c r="L32" s="428"/>
      <c r="M32" s="102" t="s">
        <v>102</v>
      </c>
    </row>
    <row r="33" spans="2:13" ht="15" customHeight="1">
      <c r="B33" s="133" t="s">
        <v>83</v>
      </c>
      <c r="C33" s="429">
        <v>20.273</v>
      </c>
      <c r="D33" s="430"/>
      <c r="E33" s="431">
        <v>2.061085</v>
      </c>
      <c r="F33" s="432"/>
      <c r="G33" s="443">
        <v>36.144</v>
      </c>
      <c r="H33" s="433"/>
      <c r="I33" s="434">
        <v>81.30613135291111</v>
      </c>
      <c r="J33" s="434"/>
      <c r="K33" s="434">
        <v>81.58860907697847</v>
      </c>
      <c r="L33" s="435"/>
      <c r="M33" s="133" t="s">
        <v>83</v>
      </c>
    </row>
    <row r="34" spans="2:13" ht="15" customHeight="1">
      <c r="B34" s="102" t="s">
        <v>85</v>
      </c>
      <c r="C34" s="422">
        <v>49.035</v>
      </c>
      <c r="D34" s="423"/>
      <c r="E34" s="424">
        <v>5.415949</v>
      </c>
      <c r="F34" s="425"/>
      <c r="G34" s="441">
        <v>73.5932</v>
      </c>
      <c r="H34" s="426"/>
      <c r="I34" s="427">
        <v>73.48142742326478</v>
      </c>
      <c r="J34" s="427"/>
      <c r="K34" s="427">
        <v>74.91065576136813</v>
      </c>
      <c r="L34" s="428"/>
      <c r="M34" s="102" t="s">
        <v>85</v>
      </c>
    </row>
    <row r="35" spans="2:13" ht="15" customHeight="1">
      <c r="B35" s="133" t="s">
        <v>87</v>
      </c>
      <c r="C35" s="429">
        <v>338.419</v>
      </c>
      <c r="D35" s="430"/>
      <c r="E35" s="431">
        <v>5.45127</v>
      </c>
      <c r="F35" s="432"/>
      <c r="G35" s="443">
        <v>201.341</v>
      </c>
      <c r="H35" s="433"/>
      <c r="I35" s="434">
        <v>114.5273875963583</v>
      </c>
      <c r="J35" s="434"/>
      <c r="K35" s="434">
        <v>112.35276008835964</v>
      </c>
      <c r="L35" s="435"/>
      <c r="M35" s="133" t="s">
        <v>87</v>
      </c>
    </row>
    <row r="36" spans="2:13" ht="15" customHeight="1">
      <c r="B36" s="102" t="s">
        <v>88</v>
      </c>
      <c r="C36" s="422">
        <v>450.295</v>
      </c>
      <c r="D36" s="423"/>
      <c r="E36" s="424">
        <v>9.644864</v>
      </c>
      <c r="F36" s="425"/>
      <c r="G36" s="441">
        <v>436.3424</v>
      </c>
      <c r="H36" s="426"/>
      <c r="I36" s="427">
        <v>125.43071976048469</v>
      </c>
      <c r="J36" s="427"/>
      <c r="K36" s="427">
        <v>126.22347492028408</v>
      </c>
      <c r="L36" s="428"/>
      <c r="M36" s="102" t="s">
        <v>88</v>
      </c>
    </row>
    <row r="37" spans="2:13" ht="15" customHeight="1">
      <c r="B37" s="134" t="s">
        <v>13</v>
      </c>
      <c r="C37" s="436">
        <v>243.82</v>
      </c>
      <c r="D37" s="366"/>
      <c r="E37" s="572">
        <v>64.308261</v>
      </c>
      <c r="F37" s="437"/>
      <c r="G37" s="573">
        <v>2017.1938</v>
      </c>
      <c r="H37" s="438"/>
      <c r="I37" s="439">
        <v>106.83842175527072</v>
      </c>
      <c r="J37" s="439"/>
      <c r="K37" s="439">
        <v>108.15401749006064</v>
      </c>
      <c r="L37" s="440"/>
      <c r="M37" s="134" t="s">
        <v>13</v>
      </c>
    </row>
    <row r="38" spans="2:13" ht="15" customHeight="1">
      <c r="B38" s="102" t="s">
        <v>310</v>
      </c>
      <c r="C38" s="422">
        <v>28.748</v>
      </c>
      <c r="D38" s="423"/>
      <c r="E38" s="565">
        <v>2.895947</v>
      </c>
      <c r="F38" s="425"/>
      <c r="G38" s="441">
        <v>9.730370870013912</v>
      </c>
      <c r="H38" s="426"/>
      <c r="I38" s="427"/>
      <c r="J38" s="427"/>
      <c r="K38" s="427"/>
      <c r="L38" s="428"/>
      <c r="M38" s="102" t="s">
        <v>310</v>
      </c>
    </row>
    <row r="39" spans="2:13" ht="15" customHeight="1">
      <c r="B39" s="133" t="s">
        <v>244</v>
      </c>
      <c r="C39" s="429">
        <v>13.812</v>
      </c>
      <c r="D39" s="430"/>
      <c r="E39" s="567">
        <v>0.624335</v>
      </c>
      <c r="F39" s="432"/>
      <c r="G39" s="443">
        <v>3.327</v>
      </c>
      <c r="H39" s="433"/>
      <c r="I39" s="434"/>
      <c r="J39" s="434"/>
      <c r="K39" s="434"/>
      <c r="L39" s="435"/>
      <c r="M39" s="133" t="s">
        <v>244</v>
      </c>
    </row>
    <row r="40" spans="2:13" ht="15" customHeight="1">
      <c r="B40" s="102" t="s">
        <v>149</v>
      </c>
      <c r="C40" s="422">
        <v>25.713</v>
      </c>
      <c r="D40" s="423"/>
      <c r="E40" s="424">
        <v>2.065769</v>
      </c>
      <c r="F40" s="425"/>
      <c r="G40" s="571">
        <v>8.1226</v>
      </c>
      <c r="H40" s="426"/>
      <c r="I40" s="427">
        <v>34.07050915766941</v>
      </c>
      <c r="J40" s="427"/>
      <c r="K40" s="442">
        <v>35.39572025736964</v>
      </c>
      <c r="L40" s="428"/>
      <c r="M40" s="102" t="s">
        <v>149</v>
      </c>
    </row>
    <row r="41" spans="2:13" ht="15" customHeight="1">
      <c r="B41" s="133" t="s">
        <v>245</v>
      </c>
      <c r="C41" s="429">
        <v>88.361</v>
      </c>
      <c r="D41" s="430"/>
      <c r="E41" s="431">
        <v>7.146759</v>
      </c>
      <c r="F41" s="432"/>
      <c r="G41" s="443">
        <v>34.2629</v>
      </c>
      <c r="H41" s="433"/>
      <c r="I41" s="434">
        <v>36.59774335400539</v>
      </c>
      <c r="J41" s="434"/>
      <c r="K41" s="434">
        <v>36.80939851395271</v>
      </c>
      <c r="L41" s="435"/>
      <c r="M41" s="133" t="s">
        <v>245</v>
      </c>
    </row>
    <row r="42" spans="2:13" ht="15" customHeight="1">
      <c r="B42" s="102" t="s">
        <v>150</v>
      </c>
      <c r="C42" s="422">
        <v>785.347</v>
      </c>
      <c r="D42" s="423"/>
      <c r="E42" s="424">
        <v>76.667864</v>
      </c>
      <c r="F42" s="425"/>
      <c r="G42" s="441">
        <v>617.7939</v>
      </c>
      <c r="H42" s="426"/>
      <c r="I42" s="427"/>
      <c r="J42" s="427"/>
      <c r="K42" s="427"/>
      <c r="L42" s="428"/>
      <c r="M42" s="102" t="s">
        <v>150</v>
      </c>
    </row>
    <row r="43" spans="2:13" ht="15" customHeight="1">
      <c r="B43" s="129" t="s">
        <v>151</v>
      </c>
      <c r="C43" s="574">
        <v>103</v>
      </c>
      <c r="D43" s="575"/>
      <c r="E43" s="576">
        <v>0.325671</v>
      </c>
      <c r="F43" s="577"/>
      <c r="G43" s="578">
        <v>11.534799999999999</v>
      </c>
      <c r="H43" s="579"/>
      <c r="I43" s="580">
        <v>115.51828367606711</v>
      </c>
      <c r="J43" s="580"/>
      <c r="K43" s="580">
        <v>115.51828367606711</v>
      </c>
      <c r="L43" s="581"/>
      <c r="M43" s="129" t="s">
        <v>151</v>
      </c>
    </row>
    <row r="44" spans="2:13" ht="15" customHeight="1">
      <c r="B44" s="102" t="s">
        <v>152</v>
      </c>
      <c r="C44" s="582">
        <v>323.782</v>
      </c>
      <c r="D44" s="423"/>
      <c r="E44" s="424">
        <v>5.109056</v>
      </c>
      <c r="F44" s="583"/>
      <c r="G44" s="441">
        <v>393.0984</v>
      </c>
      <c r="H44" s="426"/>
      <c r="I44" s="427">
        <v>189.23931724187207</v>
      </c>
      <c r="J44" s="427"/>
      <c r="K44" s="427">
        <v>189.23931724187207</v>
      </c>
      <c r="L44" s="428"/>
      <c r="M44" s="102" t="s">
        <v>152</v>
      </c>
    </row>
    <row r="45" spans="2:13" ht="15" customHeight="1">
      <c r="B45" s="134" t="s">
        <v>153</v>
      </c>
      <c r="C45" s="436">
        <v>41.285</v>
      </c>
      <c r="D45" s="366"/>
      <c r="E45" s="572">
        <v>8.136689</v>
      </c>
      <c r="F45" s="437"/>
      <c r="G45" s="584">
        <v>516.0681</v>
      </c>
      <c r="H45" s="438"/>
      <c r="I45" s="445">
        <v>159.8034495289368</v>
      </c>
      <c r="J45" s="445"/>
      <c r="K45" s="445">
        <v>159.8034495289368</v>
      </c>
      <c r="L45" s="585"/>
      <c r="M45" s="134" t="s">
        <v>153</v>
      </c>
    </row>
    <row r="46" ht="15" customHeight="1">
      <c r="B46" s="446" t="s">
        <v>311</v>
      </c>
    </row>
    <row r="47" spans="2:13" ht="12.75" customHeight="1">
      <c r="B47" s="1074" t="s">
        <v>246</v>
      </c>
      <c r="C47" s="1051"/>
      <c r="D47" s="1051"/>
      <c r="E47" s="1051"/>
      <c r="F47" s="1051"/>
      <c r="G47" s="1051"/>
      <c r="H47" s="1051"/>
      <c r="I47" s="1051"/>
      <c r="J47" s="1051"/>
      <c r="K47" s="1051"/>
      <c r="L47" s="1051"/>
      <c r="M47" s="1051"/>
    </row>
    <row r="48" spans="2:13" ht="57.75" customHeight="1">
      <c r="B48" s="1075" t="s">
        <v>312</v>
      </c>
      <c r="C48" s="1076"/>
      <c r="D48" s="1076"/>
      <c r="E48" s="1076"/>
      <c r="F48" s="1076"/>
      <c r="G48" s="1076"/>
      <c r="H48" s="1076"/>
      <c r="I48" s="1076"/>
      <c r="J48" s="1076"/>
      <c r="K48" s="1076"/>
      <c r="L48" s="1076"/>
      <c r="M48" s="1076"/>
    </row>
    <row r="49" spans="2:13" ht="36" customHeight="1">
      <c r="B49" s="1077" t="s">
        <v>313</v>
      </c>
      <c r="C49" s="1076"/>
      <c r="D49" s="1076"/>
      <c r="E49" s="1076"/>
      <c r="F49" s="1076"/>
      <c r="G49" s="1076"/>
      <c r="H49" s="1076"/>
      <c r="I49" s="1076"/>
      <c r="J49" s="1076"/>
      <c r="K49" s="1076"/>
      <c r="L49" s="1076"/>
      <c r="M49" s="1076"/>
    </row>
    <row r="50" ht="23.25" customHeight="1"/>
    <row r="51" spans="2:13" ht="12.75">
      <c r="B51" s="1077"/>
      <c r="C51" s="1078"/>
      <c r="D51" s="1078"/>
      <c r="E51" s="1078"/>
      <c r="F51" s="1078"/>
      <c r="G51" s="1078"/>
      <c r="H51" s="1078"/>
      <c r="I51" s="1078"/>
      <c r="J51" s="1078"/>
      <c r="K51" s="1078"/>
      <c r="L51" s="1078"/>
      <c r="M51" s="1078"/>
    </row>
    <row r="52" ht="12.75" customHeight="1"/>
  </sheetData>
  <sheetProtection/>
  <mergeCells count="11">
    <mergeCell ref="I5:L5"/>
    <mergeCell ref="B47:M47"/>
    <mergeCell ref="B48:M48"/>
    <mergeCell ref="B49:M49"/>
    <mergeCell ref="B51:M51"/>
    <mergeCell ref="B2:M2"/>
    <mergeCell ref="C3:D4"/>
    <mergeCell ref="E3:F4"/>
    <mergeCell ref="G3:H4"/>
    <mergeCell ref="I3:L3"/>
    <mergeCell ref="I4:L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K52"/>
  <sheetViews>
    <sheetView zoomScalePageLayoutView="0" workbookViewId="0" topLeftCell="A1">
      <selection activeCell="H9" sqref="H9"/>
    </sheetView>
  </sheetViews>
  <sheetFormatPr defaultColWidth="9.140625" defaultRowHeight="12.75"/>
  <cols>
    <col min="1" max="1" width="3.7109375" style="0" customWidth="1"/>
    <col min="2" max="2" width="4.57421875" style="0" customWidth="1"/>
    <col min="3" max="13" width="7.7109375" style="0" customWidth="1"/>
    <col min="14" max="21" width="8.28125" style="0" customWidth="1"/>
    <col min="22" max="22" width="6.00390625" style="0" customWidth="1"/>
    <col min="23" max="23" width="6.28125" style="0" customWidth="1"/>
    <col min="24" max="24" width="5.8515625" style="0" customWidth="1"/>
  </cols>
  <sheetData>
    <row r="1" spans="2:24" ht="14.25" customHeight="1">
      <c r="B1" s="338"/>
      <c r="C1" s="95"/>
      <c r="D1" s="95"/>
      <c r="E1" s="95"/>
      <c r="F1" s="95"/>
      <c r="G1" s="95"/>
      <c r="H1" s="95"/>
      <c r="I1" s="95"/>
      <c r="J1" s="339"/>
      <c r="X1" s="97" t="s">
        <v>226</v>
      </c>
    </row>
    <row r="2" spans="2:24" s="229" customFormat="1" ht="15" customHeight="1">
      <c r="B2" s="1080" t="s">
        <v>247</v>
      </c>
      <c r="C2" s="1080"/>
      <c r="D2" s="1080"/>
      <c r="E2" s="1080"/>
      <c r="F2" s="1080"/>
      <c r="G2" s="1080"/>
      <c r="H2" s="1080"/>
      <c r="I2" s="1080"/>
      <c r="J2" s="1080"/>
      <c r="K2" s="1080"/>
      <c r="L2" s="1080"/>
      <c r="M2" s="1080"/>
      <c r="N2" s="1080"/>
      <c r="O2" s="1080"/>
      <c r="P2" s="1080"/>
      <c r="Q2" s="1080"/>
      <c r="R2" s="1080"/>
      <c r="S2" s="1080"/>
      <c r="T2" s="1080"/>
      <c r="U2" s="1080"/>
      <c r="V2" s="1080"/>
      <c r="W2" s="1080"/>
      <c r="X2" s="1080"/>
    </row>
    <row r="3" spans="2:24" ht="15" customHeight="1">
      <c r="B3" s="1081" t="s">
        <v>227</v>
      </c>
      <c r="C3" s="1081"/>
      <c r="D3" s="1081"/>
      <c r="E3" s="1081"/>
      <c r="F3" s="1081"/>
      <c r="G3" s="1081"/>
      <c r="H3" s="1081"/>
      <c r="I3" s="1081"/>
      <c r="J3" s="1081"/>
      <c r="K3" s="1081"/>
      <c r="L3" s="1081"/>
      <c r="M3" s="1081"/>
      <c r="N3" s="1081"/>
      <c r="O3" s="1081"/>
      <c r="P3" s="1081"/>
      <c r="Q3" s="1081"/>
      <c r="R3" s="1081"/>
      <c r="S3" s="1081"/>
      <c r="T3" s="1081"/>
      <c r="U3" s="1081"/>
      <c r="V3" s="1081"/>
      <c r="W3" s="1081"/>
      <c r="X3" s="1081"/>
    </row>
    <row r="4" spans="2:23" ht="12" customHeight="1">
      <c r="B4" s="123"/>
      <c r="C4" s="293"/>
      <c r="D4" s="293"/>
      <c r="E4" s="293"/>
      <c r="F4" s="293"/>
      <c r="G4" s="293"/>
      <c r="H4" s="293"/>
      <c r="J4" s="340"/>
      <c r="K4" s="340"/>
      <c r="L4" s="340"/>
      <c r="Q4" s="198" t="s">
        <v>248</v>
      </c>
      <c r="R4" s="198"/>
      <c r="S4" s="198"/>
      <c r="T4" s="198"/>
      <c r="U4" s="198"/>
      <c r="V4" s="198"/>
      <c r="W4" s="199"/>
    </row>
    <row r="5" spans="2:24" ht="19.5" customHeight="1">
      <c r="B5" s="123"/>
      <c r="C5" s="100">
        <v>1995</v>
      </c>
      <c r="D5" s="101">
        <v>1996</v>
      </c>
      <c r="E5" s="101">
        <v>1997</v>
      </c>
      <c r="F5" s="101">
        <v>1998</v>
      </c>
      <c r="G5" s="101">
        <v>1999</v>
      </c>
      <c r="H5" s="101">
        <v>2000</v>
      </c>
      <c r="I5" s="101">
        <v>2001</v>
      </c>
      <c r="J5" s="101">
        <v>2002</v>
      </c>
      <c r="K5" s="101">
        <v>2003</v>
      </c>
      <c r="L5" s="101">
        <v>2004</v>
      </c>
      <c r="M5" s="101">
        <v>2005</v>
      </c>
      <c r="N5" s="101">
        <v>2006</v>
      </c>
      <c r="O5" s="101">
        <v>2007</v>
      </c>
      <c r="P5" s="101">
        <v>2008</v>
      </c>
      <c r="Q5" s="101">
        <v>2009</v>
      </c>
      <c r="R5" s="101">
        <v>2010</v>
      </c>
      <c r="S5" s="101">
        <v>2011</v>
      </c>
      <c r="T5" s="101">
        <v>2012</v>
      </c>
      <c r="U5" s="101">
        <v>2013</v>
      </c>
      <c r="V5" s="122" t="s">
        <v>314</v>
      </c>
      <c r="W5" s="224"/>
      <c r="X5" s="224"/>
    </row>
    <row r="6" spans="2:24" ht="9.75" customHeight="1">
      <c r="B6" s="123"/>
      <c r="C6" s="125"/>
      <c r="D6" s="127"/>
      <c r="E6" s="127"/>
      <c r="F6" s="127"/>
      <c r="G6" s="127"/>
      <c r="H6" s="127"/>
      <c r="I6" s="127"/>
      <c r="J6" s="127"/>
      <c r="K6" s="127"/>
      <c r="L6" s="127"/>
      <c r="M6" s="127"/>
      <c r="N6" s="127"/>
      <c r="O6" s="127"/>
      <c r="P6" s="127"/>
      <c r="Q6" s="127"/>
      <c r="R6" s="127"/>
      <c r="S6" s="127"/>
      <c r="T6" s="127"/>
      <c r="U6" s="127"/>
      <c r="V6" s="201" t="s">
        <v>147</v>
      </c>
      <c r="W6" s="341"/>
      <c r="X6" s="224"/>
    </row>
    <row r="7" spans="2:24" ht="12.75" customHeight="1">
      <c r="B7" s="129" t="s">
        <v>260</v>
      </c>
      <c r="C7" s="586">
        <f aca="true" t="shared" si="0" ref="C7:N7">SUM(C10:C37)</f>
        <v>1288.66</v>
      </c>
      <c r="D7" s="587">
        <f t="shared" si="0"/>
        <v>1302.5789999999997</v>
      </c>
      <c r="E7" s="587">
        <f t="shared" si="0"/>
        <v>1351.678</v>
      </c>
      <c r="F7" s="587">
        <f t="shared" si="0"/>
        <v>1414.2039999999997</v>
      </c>
      <c r="G7" s="587">
        <f t="shared" si="0"/>
        <v>1460.6219999999998</v>
      </c>
      <c r="H7" s="587">
        <f t="shared" si="0"/>
        <v>1509.488</v>
      </c>
      <c r="I7" s="587">
        <f t="shared" si="0"/>
        <v>1552.5170000000003</v>
      </c>
      <c r="J7" s="587">
        <f t="shared" si="0"/>
        <v>1602.835</v>
      </c>
      <c r="K7" s="587">
        <f t="shared" si="0"/>
        <v>1607.683</v>
      </c>
      <c r="L7" s="587">
        <f t="shared" si="0"/>
        <v>1750.92</v>
      </c>
      <c r="M7" s="587">
        <f t="shared" si="0"/>
        <v>1794.5950000000003</v>
      </c>
      <c r="N7" s="587">
        <f t="shared" si="0"/>
        <v>1857.7469999999998</v>
      </c>
      <c r="O7" s="587">
        <f aca="true" t="shared" si="1" ref="O7:U7">SUM(O10:O37)</f>
        <v>1924.9579999999996</v>
      </c>
      <c r="P7" s="587">
        <f t="shared" si="1"/>
        <v>1891.1260000000002</v>
      </c>
      <c r="Q7" s="587">
        <f t="shared" si="1"/>
        <v>1699.7570000000003</v>
      </c>
      <c r="R7" s="587">
        <f t="shared" si="1"/>
        <v>1755.3109999999997</v>
      </c>
      <c r="S7" s="587">
        <f t="shared" si="1"/>
        <v>1743.8540000000003</v>
      </c>
      <c r="T7" s="587">
        <f t="shared" si="1"/>
        <v>1692.5810000000001</v>
      </c>
      <c r="U7" s="587">
        <f t="shared" si="1"/>
        <v>1719.4480000000003</v>
      </c>
      <c r="V7" s="447">
        <f>U7/T7*100-100</f>
        <v>1.5873390992809249</v>
      </c>
      <c r="W7" s="129" t="s">
        <v>260</v>
      </c>
      <c r="X7" s="588"/>
    </row>
    <row r="8" spans="1:24" ht="12.75" customHeight="1">
      <c r="A8" s="114"/>
      <c r="B8" s="133" t="s">
        <v>89</v>
      </c>
      <c r="C8" s="589">
        <f>C10+C13+C14+SUM(C16:C19)+C25+C28+C29+C31+SUM(C35:C37)+C21</f>
        <v>1138.231</v>
      </c>
      <c r="D8" s="590">
        <f aca="true" t="shared" si="2" ref="D8:R8">D10+D13+D14+SUM(D16:D19)+D25+D28+D29+D31+SUM(D35:D37)+D21</f>
        <v>1147.34</v>
      </c>
      <c r="E8" s="590">
        <f t="shared" si="2"/>
        <v>1183.0330000000001</v>
      </c>
      <c r="F8" s="590">
        <f t="shared" si="2"/>
        <v>1233.762</v>
      </c>
      <c r="G8" s="590">
        <f t="shared" si="2"/>
        <v>1272.581</v>
      </c>
      <c r="H8" s="590">
        <f t="shared" si="2"/>
        <v>1316.793</v>
      </c>
      <c r="I8" s="590">
        <f t="shared" si="2"/>
        <v>1343.646</v>
      </c>
      <c r="J8" s="590">
        <f t="shared" si="2"/>
        <v>1374.9560000000001</v>
      </c>
      <c r="K8" s="591">
        <f t="shared" si="2"/>
        <v>1360.677</v>
      </c>
      <c r="L8" s="591">
        <f t="shared" si="2"/>
        <v>1469.8320000000003</v>
      </c>
      <c r="M8" s="591">
        <f t="shared" si="2"/>
        <v>1473.5720000000001</v>
      </c>
      <c r="N8" s="591">
        <f t="shared" si="2"/>
        <v>1497.1750000000002</v>
      </c>
      <c r="O8" s="591">
        <f t="shared" si="2"/>
        <v>1523.239</v>
      </c>
      <c r="P8" s="591">
        <f t="shared" si="2"/>
        <v>1469.598</v>
      </c>
      <c r="Q8" s="591">
        <f t="shared" si="2"/>
        <v>1302.358</v>
      </c>
      <c r="R8" s="591">
        <f t="shared" si="2"/>
        <v>1332.903</v>
      </c>
      <c r="S8" s="591">
        <f>S10+S13+S14+SUM(S16:S19)+S25+S28+S29+S31+SUM(S35:S37)+S21</f>
        <v>1303.9910000000002</v>
      </c>
      <c r="T8" s="591">
        <f>T10+T13+T14+SUM(T16:T19)+T25+T28+T29+T31+SUM(T35:T37)+T21</f>
        <v>1234.457</v>
      </c>
      <c r="U8" s="591">
        <f>U10+U13+U14+SUM(U16:U19)+U25+U28+U29+U31+SUM(U35:U37)+U21</f>
        <v>1218.811</v>
      </c>
      <c r="V8" s="448">
        <f aca="true" t="shared" si="3" ref="V8:V43">U8/T8*100-100</f>
        <v>-1.2674398541221166</v>
      </c>
      <c r="W8" s="133" t="s">
        <v>89</v>
      </c>
      <c r="X8" s="588"/>
    </row>
    <row r="9" spans="1:24" ht="12.75" customHeight="1">
      <c r="A9" s="114"/>
      <c r="B9" s="134" t="s">
        <v>261</v>
      </c>
      <c r="C9" s="592">
        <f aca="true" t="shared" si="4" ref="C9:Q9">C7-C8</f>
        <v>150.4290000000001</v>
      </c>
      <c r="D9" s="593">
        <f t="shared" si="4"/>
        <v>155.2389999999998</v>
      </c>
      <c r="E9" s="593">
        <f t="shared" si="4"/>
        <v>168.64499999999998</v>
      </c>
      <c r="F9" s="593">
        <f t="shared" si="4"/>
        <v>180.44199999999978</v>
      </c>
      <c r="G9" s="593">
        <f t="shared" si="4"/>
        <v>188.04099999999994</v>
      </c>
      <c r="H9" s="593">
        <f t="shared" si="4"/>
        <v>192.69500000000016</v>
      </c>
      <c r="I9" s="593">
        <f t="shared" si="4"/>
        <v>208.87100000000032</v>
      </c>
      <c r="J9" s="593">
        <f t="shared" si="4"/>
        <v>227.8789999999999</v>
      </c>
      <c r="K9" s="593">
        <f t="shared" si="4"/>
        <v>247.00600000000009</v>
      </c>
      <c r="L9" s="593">
        <f t="shared" si="4"/>
        <v>281.08799999999974</v>
      </c>
      <c r="M9" s="593">
        <f t="shared" si="4"/>
        <v>321.02300000000014</v>
      </c>
      <c r="N9" s="593">
        <f t="shared" si="4"/>
        <v>360.57199999999966</v>
      </c>
      <c r="O9" s="593">
        <f t="shared" si="4"/>
        <v>401.7189999999996</v>
      </c>
      <c r="P9" s="593">
        <f t="shared" si="4"/>
        <v>421.52800000000025</v>
      </c>
      <c r="Q9" s="593">
        <f t="shared" si="4"/>
        <v>397.39900000000034</v>
      </c>
      <c r="R9" s="593">
        <f>R7-R8</f>
        <v>422.4079999999997</v>
      </c>
      <c r="S9" s="593">
        <f>S7-S8</f>
        <v>439.86300000000006</v>
      </c>
      <c r="T9" s="593">
        <f>T7-T8</f>
        <v>458.124</v>
      </c>
      <c r="U9" s="593">
        <f>U7-U8</f>
        <v>500.6370000000004</v>
      </c>
      <c r="V9" s="449">
        <f t="shared" si="3"/>
        <v>9.27980197501121</v>
      </c>
      <c r="W9" s="134" t="s">
        <v>261</v>
      </c>
      <c r="X9" s="588"/>
    </row>
    <row r="10" spans="1:24" ht="12.75" customHeight="1">
      <c r="A10" s="114"/>
      <c r="B10" s="102" t="s">
        <v>60</v>
      </c>
      <c r="C10" s="208">
        <v>45.6</v>
      </c>
      <c r="D10" s="179">
        <v>41.8</v>
      </c>
      <c r="E10" s="179">
        <v>43.7</v>
      </c>
      <c r="F10" s="179">
        <v>41.1</v>
      </c>
      <c r="G10" s="213">
        <v>37.284</v>
      </c>
      <c r="H10" s="179">
        <v>51.047</v>
      </c>
      <c r="I10" s="179">
        <v>53.182</v>
      </c>
      <c r="J10" s="179">
        <v>52.889</v>
      </c>
      <c r="K10" s="179">
        <v>50.542</v>
      </c>
      <c r="L10" s="179">
        <v>47.878</v>
      </c>
      <c r="M10" s="179">
        <v>43.847</v>
      </c>
      <c r="N10" s="179">
        <v>43.017</v>
      </c>
      <c r="O10" s="179">
        <v>42.085</v>
      </c>
      <c r="P10" s="179">
        <v>38.356</v>
      </c>
      <c r="Q10" s="179">
        <v>36.174</v>
      </c>
      <c r="R10" s="594">
        <v>35.002</v>
      </c>
      <c r="S10" s="594">
        <v>33.107</v>
      </c>
      <c r="T10" s="594">
        <v>32.105</v>
      </c>
      <c r="U10" s="179">
        <v>32.796</v>
      </c>
      <c r="V10" s="235">
        <f t="shared" si="3"/>
        <v>2.1523127238748003</v>
      </c>
      <c r="W10" s="102" t="s">
        <v>60</v>
      </c>
      <c r="X10" s="588"/>
    </row>
    <row r="11" spans="1:37" ht="12.75" customHeight="1">
      <c r="A11" s="114"/>
      <c r="B11" s="133" t="s">
        <v>101</v>
      </c>
      <c r="C11" s="331">
        <v>5.2</v>
      </c>
      <c r="D11" s="176">
        <v>5.4</v>
      </c>
      <c r="E11" s="176">
        <v>5.6</v>
      </c>
      <c r="F11" s="176">
        <v>5.8</v>
      </c>
      <c r="G11" s="176">
        <v>6</v>
      </c>
      <c r="H11" s="176">
        <v>6.404</v>
      </c>
      <c r="I11" s="176">
        <v>8.047</v>
      </c>
      <c r="J11" s="176">
        <v>8.804</v>
      </c>
      <c r="K11" s="176">
        <v>9.497</v>
      </c>
      <c r="L11" s="176">
        <v>11.961</v>
      </c>
      <c r="M11" s="176">
        <v>14.371</v>
      </c>
      <c r="N11" s="176">
        <v>13.765</v>
      </c>
      <c r="O11" s="176">
        <v>14.624</v>
      </c>
      <c r="P11" s="176">
        <v>15.322</v>
      </c>
      <c r="Q11" s="176">
        <v>17.742</v>
      </c>
      <c r="R11" s="176">
        <v>19.433</v>
      </c>
      <c r="S11" s="176">
        <v>21.214</v>
      </c>
      <c r="T11" s="176">
        <v>24.372</v>
      </c>
      <c r="U11" s="176">
        <v>27.097</v>
      </c>
      <c r="V11" s="234">
        <f t="shared" si="3"/>
        <v>11.180863285737729</v>
      </c>
      <c r="W11" s="133" t="s">
        <v>101</v>
      </c>
      <c r="X11" s="588"/>
      <c r="Y11" s="595"/>
      <c r="Z11" s="595"/>
      <c r="AA11" s="595"/>
      <c r="AB11" s="595"/>
      <c r="AC11" s="595"/>
      <c r="AD11" s="595"/>
      <c r="AE11" s="595"/>
      <c r="AF11" s="595"/>
      <c r="AG11" s="595"/>
      <c r="AH11" s="595"/>
      <c r="AI11" s="595"/>
      <c r="AJ11" s="595"/>
      <c r="AK11" s="595"/>
    </row>
    <row r="12" spans="1:37" ht="12.75" customHeight="1">
      <c r="A12" s="114"/>
      <c r="B12" s="102" t="s">
        <v>61</v>
      </c>
      <c r="C12" s="212">
        <v>31.3</v>
      </c>
      <c r="D12" s="177">
        <v>30.1</v>
      </c>
      <c r="E12" s="177">
        <v>30.64</v>
      </c>
      <c r="F12" s="177">
        <v>33.911</v>
      </c>
      <c r="G12" s="177">
        <v>36.964</v>
      </c>
      <c r="H12" s="177">
        <v>37.31</v>
      </c>
      <c r="I12" s="177">
        <v>39.067</v>
      </c>
      <c r="J12" s="177">
        <v>43.674</v>
      </c>
      <c r="K12" s="177">
        <v>46.535</v>
      </c>
      <c r="L12" s="177">
        <v>46.011</v>
      </c>
      <c r="M12" s="177">
        <v>43.447</v>
      </c>
      <c r="N12" s="177">
        <v>50.376</v>
      </c>
      <c r="O12" s="177">
        <v>48.141</v>
      </c>
      <c r="P12" s="177">
        <v>50.877</v>
      </c>
      <c r="Q12" s="177">
        <v>44.955</v>
      </c>
      <c r="R12" s="177">
        <v>51.832</v>
      </c>
      <c r="S12" s="177">
        <v>54.83</v>
      </c>
      <c r="T12" s="177">
        <v>51.228</v>
      </c>
      <c r="U12" s="177">
        <v>54.893</v>
      </c>
      <c r="V12" s="235">
        <f t="shared" si="3"/>
        <v>7.154290622315912</v>
      </c>
      <c r="W12" s="102" t="s">
        <v>61</v>
      </c>
      <c r="X12" s="588"/>
      <c r="Y12" s="595"/>
      <c r="Z12" s="595"/>
      <c r="AA12" s="595"/>
      <c r="AB12" s="595"/>
      <c r="AC12" s="595"/>
      <c r="AD12" s="595"/>
      <c r="AE12" s="595"/>
      <c r="AF12" s="595"/>
      <c r="AG12" s="595"/>
      <c r="AH12" s="595"/>
      <c r="AI12" s="595"/>
      <c r="AJ12" s="595"/>
      <c r="AK12" s="595"/>
    </row>
    <row r="13" spans="1:37" ht="12.75" customHeight="1">
      <c r="A13" s="114"/>
      <c r="B13" s="133" t="s">
        <v>14</v>
      </c>
      <c r="C13" s="331">
        <v>22.4</v>
      </c>
      <c r="D13" s="176">
        <v>21.3</v>
      </c>
      <c r="E13" s="176">
        <v>21.5</v>
      </c>
      <c r="F13" s="176">
        <v>21.4</v>
      </c>
      <c r="G13" s="176">
        <v>23.236</v>
      </c>
      <c r="H13" s="176">
        <v>24.021</v>
      </c>
      <c r="I13" s="176">
        <v>22.156</v>
      </c>
      <c r="J13" s="176">
        <v>22.516</v>
      </c>
      <c r="K13" s="176">
        <v>23.009</v>
      </c>
      <c r="L13" s="176">
        <v>23.114</v>
      </c>
      <c r="M13" s="176">
        <v>23.299</v>
      </c>
      <c r="N13" s="176">
        <v>21.254</v>
      </c>
      <c r="O13" s="176">
        <v>20.96</v>
      </c>
      <c r="P13" s="176">
        <v>19.48</v>
      </c>
      <c r="Q13" s="176">
        <v>16.876</v>
      </c>
      <c r="R13" s="176">
        <v>15.018</v>
      </c>
      <c r="S13" s="176">
        <v>16.12</v>
      </c>
      <c r="T13" s="176">
        <v>16.679</v>
      </c>
      <c r="U13" s="176">
        <v>16.072</v>
      </c>
      <c r="V13" s="234">
        <f t="shared" si="3"/>
        <v>-3.6393069128844644</v>
      </c>
      <c r="W13" s="133" t="s">
        <v>14</v>
      </c>
      <c r="X13" s="588"/>
      <c r="Y13" s="595"/>
      <c r="Z13" s="595"/>
      <c r="AA13" s="595"/>
      <c r="AB13" s="595"/>
      <c r="AC13" s="595"/>
      <c r="AD13" s="595"/>
      <c r="AE13" s="595"/>
      <c r="AF13" s="595"/>
      <c r="AG13" s="595"/>
      <c r="AH13" s="595"/>
      <c r="AI13" s="595"/>
      <c r="AJ13" s="595"/>
      <c r="AK13" s="595"/>
    </row>
    <row r="14" spans="1:37" ht="12.75" customHeight="1">
      <c r="A14" s="114"/>
      <c r="B14" s="102" t="s">
        <v>63</v>
      </c>
      <c r="C14" s="212">
        <v>237.8</v>
      </c>
      <c r="D14" s="177">
        <v>236.6</v>
      </c>
      <c r="E14" s="177">
        <v>245.9</v>
      </c>
      <c r="F14" s="177">
        <v>257.4</v>
      </c>
      <c r="G14" s="177">
        <v>278.427</v>
      </c>
      <c r="H14" s="177">
        <v>280.708</v>
      </c>
      <c r="I14" s="177">
        <v>288.964</v>
      </c>
      <c r="J14" s="177">
        <v>285.214</v>
      </c>
      <c r="K14" s="177">
        <v>290.745</v>
      </c>
      <c r="L14" s="177">
        <v>303.752</v>
      </c>
      <c r="M14" s="177">
        <v>310.103</v>
      </c>
      <c r="N14" s="177">
        <v>330.016</v>
      </c>
      <c r="O14" s="177">
        <v>343.447</v>
      </c>
      <c r="P14" s="177">
        <v>341.532</v>
      </c>
      <c r="Q14" s="177">
        <v>307.547</v>
      </c>
      <c r="R14" s="177">
        <v>313.104</v>
      </c>
      <c r="S14" s="177">
        <v>323.833</v>
      </c>
      <c r="T14" s="177">
        <v>307.009</v>
      </c>
      <c r="U14" s="177">
        <v>305.744</v>
      </c>
      <c r="V14" s="235">
        <f t="shared" si="3"/>
        <v>-0.4120400379141955</v>
      </c>
      <c r="W14" s="102" t="s">
        <v>63</v>
      </c>
      <c r="X14" s="588"/>
      <c r="Y14" s="595"/>
      <c r="Z14" s="595"/>
      <c r="AA14" s="595"/>
      <c r="AB14" s="595"/>
      <c r="AC14" s="595"/>
      <c r="AD14" s="595"/>
      <c r="AE14" s="595"/>
      <c r="AF14" s="595"/>
      <c r="AG14" s="595"/>
      <c r="AH14" s="595"/>
      <c r="AI14" s="595"/>
      <c r="AJ14" s="595"/>
      <c r="AK14" s="595"/>
    </row>
    <row r="15" spans="1:37" ht="12.75" customHeight="1">
      <c r="A15" s="114"/>
      <c r="B15" s="133" t="s">
        <v>64</v>
      </c>
      <c r="C15" s="331">
        <v>1.549</v>
      </c>
      <c r="D15" s="176">
        <v>1.897</v>
      </c>
      <c r="E15" s="176">
        <v>2.773</v>
      </c>
      <c r="F15" s="176">
        <v>3.791</v>
      </c>
      <c r="G15" s="176">
        <v>3.975</v>
      </c>
      <c r="H15" s="176">
        <v>3.932</v>
      </c>
      <c r="I15" s="176">
        <v>4.677</v>
      </c>
      <c r="J15" s="215">
        <v>4.387</v>
      </c>
      <c r="K15" s="176">
        <v>3.974</v>
      </c>
      <c r="L15" s="176">
        <v>5.099</v>
      </c>
      <c r="M15" s="176">
        <v>5.824</v>
      </c>
      <c r="N15" s="176">
        <v>5.548</v>
      </c>
      <c r="O15" s="176">
        <v>6.417</v>
      </c>
      <c r="P15" s="176">
        <v>7.354</v>
      </c>
      <c r="Q15" s="176">
        <v>5.34</v>
      </c>
      <c r="R15" s="176">
        <v>5.614</v>
      </c>
      <c r="S15" s="176">
        <v>5.912</v>
      </c>
      <c r="T15" s="176">
        <v>5.791</v>
      </c>
      <c r="U15" s="176">
        <v>5.986</v>
      </c>
      <c r="V15" s="234">
        <f t="shared" si="3"/>
        <v>3.367294077016055</v>
      </c>
      <c r="W15" s="133" t="s">
        <v>64</v>
      </c>
      <c r="X15" s="588"/>
      <c r="Y15" s="595"/>
      <c r="Z15" s="595"/>
      <c r="AA15" s="595"/>
      <c r="AB15" s="595"/>
      <c r="AC15" s="595"/>
      <c r="AD15" s="595"/>
      <c r="AE15" s="595"/>
      <c r="AF15" s="595"/>
      <c r="AG15" s="595"/>
      <c r="AH15" s="595"/>
      <c r="AI15" s="595"/>
      <c r="AJ15" s="595"/>
      <c r="AK15" s="595"/>
    </row>
    <row r="16" spans="1:37" ht="12.75" customHeight="1">
      <c r="A16" s="114"/>
      <c r="B16" s="102" t="s">
        <v>68</v>
      </c>
      <c r="C16" s="208">
        <v>5.5</v>
      </c>
      <c r="D16" s="179">
        <v>6.3</v>
      </c>
      <c r="E16" s="179">
        <v>7</v>
      </c>
      <c r="F16" s="179">
        <v>8.2</v>
      </c>
      <c r="G16" s="179">
        <v>10.206</v>
      </c>
      <c r="H16" s="179">
        <v>12.275</v>
      </c>
      <c r="I16" s="179">
        <v>12.325</v>
      </c>
      <c r="J16" s="179">
        <v>14.275</v>
      </c>
      <c r="K16" s="179">
        <v>15.65</v>
      </c>
      <c r="L16" s="179">
        <v>17.144</v>
      </c>
      <c r="M16" s="179">
        <v>17.91</v>
      </c>
      <c r="N16" s="179">
        <v>17.454</v>
      </c>
      <c r="O16" s="179">
        <v>19.02</v>
      </c>
      <c r="P16" s="179">
        <v>17.402</v>
      </c>
      <c r="Q16" s="179">
        <v>11.687</v>
      </c>
      <c r="R16" s="179">
        <v>10.939</v>
      </c>
      <c r="S16" s="179">
        <v>10.108</v>
      </c>
      <c r="T16" s="179">
        <v>9.976</v>
      </c>
      <c r="U16" s="179">
        <v>9.215</v>
      </c>
      <c r="V16" s="235">
        <f t="shared" si="3"/>
        <v>-7.628307939053741</v>
      </c>
      <c r="W16" s="102" t="s">
        <v>68</v>
      </c>
      <c r="X16" s="588"/>
      <c r="Y16" s="595"/>
      <c r="Z16" s="595"/>
      <c r="AA16" s="595"/>
      <c r="AB16" s="595"/>
      <c r="AC16" s="595"/>
      <c r="AD16" s="595"/>
      <c r="AE16" s="595"/>
      <c r="AF16" s="595"/>
      <c r="AG16" s="595"/>
      <c r="AH16" s="595"/>
      <c r="AI16" s="595"/>
      <c r="AJ16" s="595"/>
      <c r="AK16" s="595"/>
    </row>
    <row r="17" spans="1:37" ht="12.75" customHeight="1">
      <c r="A17" s="114"/>
      <c r="B17" s="133" t="s">
        <v>15</v>
      </c>
      <c r="C17" s="450">
        <v>24</v>
      </c>
      <c r="D17" s="175">
        <v>25.05</v>
      </c>
      <c r="E17" s="175">
        <v>26.12</v>
      </c>
      <c r="F17" s="175">
        <v>27.2</v>
      </c>
      <c r="G17" s="175">
        <v>28.1</v>
      </c>
      <c r="H17" s="175">
        <v>29</v>
      </c>
      <c r="I17" s="175">
        <v>30</v>
      </c>
      <c r="J17" s="175">
        <v>31</v>
      </c>
      <c r="K17" s="218">
        <v>19.34</v>
      </c>
      <c r="L17" s="176">
        <v>36.773</v>
      </c>
      <c r="M17" s="176">
        <v>23.761</v>
      </c>
      <c r="N17" s="176">
        <v>34.002</v>
      </c>
      <c r="O17" s="176">
        <v>27.791</v>
      </c>
      <c r="P17" s="176">
        <v>28.85</v>
      </c>
      <c r="Q17" s="176">
        <v>28.585</v>
      </c>
      <c r="R17" s="176">
        <v>29.815</v>
      </c>
      <c r="S17" s="176">
        <v>20.597</v>
      </c>
      <c r="T17" s="176">
        <v>20.839</v>
      </c>
      <c r="U17" s="176">
        <v>18.97</v>
      </c>
      <c r="V17" s="234">
        <f t="shared" si="3"/>
        <v>-8.968760497144785</v>
      </c>
      <c r="W17" s="133" t="s">
        <v>15</v>
      </c>
      <c r="X17" s="588"/>
      <c r="Y17" s="595"/>
      <c r="Z17" s="595"/>
      <c r="AA17" s="595"/>
      <c r="AB17" s="595"/>
      <c r="AC17" s="595"/>
      <c r="AD17" s="595"/>
      <c r="AE17" s="595"/>
      <c r="AF17" s="595"/>
      <c r="AG17" s="595"/>
      <c r="AH17" s="595"/>
      <c r="AI17" s="595"/>
      <c r="AJ17" s="595"/>
      <c r="AK17" s="595"/>
    </row>
    <row r="18" spans="1:37" ht="12.75" customHeight="1">
      <c r="A18" s="114"/>
      <c r="B18" s="102" t="s">
        <v>66</v>
      </c>
      <c r="C18" s="208">
        <v>101.6</v>
      </c>
      <c r="D18" s="179">
        <v>102</v>
      </c>
      <c r="E18" s="179">
        <v>109.5</v>
      </c>
      <c r="F18" s="179">
        <v>125</v>
      </c>
      <c r="G18" s="179">
        <v>134.262</v>
      </c>
      <c r="H18" s="179">
        <v>148.717</v>
      </c>
      <c r="I18" s="179">
        <v>161.045</v>
      </c>
      <c r="J18" s="179">
        <v>184.549</v>
      </c>
      <c r="K18" s="179">
        <v>192.596</v>
      </c>
      <c r="L18" s="179">
        <v>220.822</v>
      </c>
      <c r="M18" s="179">
        <v>233.23</v>
      </c>
      <c r="N18" s="179">
        <v>241.788</v>
      </c>
      <c r="O18" s="179">
        <v>258.875</v>
      </c>
      <c r="P18" s="179">
        <v>242.983</v>
      </c>
      <c r="Q18" s="179">
        <v>211.895</v>
      </c>
      <c r="R18" s="179">
        <v>210.068</v>
      </c>
      <c r="S18" s="179">
        <v>206.843</v>
      </c>
      <c r="T18" s="179">
        <v>199.209</v>
      </c>
      <c r="U18" s="179">
        <v>192.597</v>
      </c>
      <c r="V18" s="235">
        <f t="shared" si="3"/>
        <v>-3.319127147869821</v>
      </c>
      <c r="W18" s="102" t="s">
        <v>66</v>
      </c>
      <c r="X18" s="588"/>
      <c r="Y18" s="595"/>
      <c r="Z18" s="595"/>
      <c r="AA18" s="595"/>
      <c r="AB18" s="595"/>
      <c r="AC18" s="595"/>
      <c r="AD18" s="595"/>
      <c r="AE18" s="595"/>
      <c r="AF18" s="595"/>
      <c r="AG18" s="595"/>
      <c r="AH18" s="595"/>
      <c r="AI18" s="595"/>
      <c r="AJ18" s="595"/>
      <c r="AK18" s="595"/>
    </row>
    <row r="19" spans="1:37" ht="12.75" customHeight="1">
      <c r="A19" s="114"/>
      <c r="B19" s="133" t="s">
        <v>67</v>
      </c>
      <c r="C19" s="331">
        <v>178.2</v>
      </c>
      <c r="D19" s="176">
        <v>180</v>
      </c>
      <c r="E19" s="176">
        <v>181.4</v>
      </c>
      <c r="F19" s="176">
        <v>189.1</v>
      </c>
      <c r="G19" s="176">
        <v>204.713</v>
      </c>
      <c r="H19" s="176">
        <v>203.999</v>
      </c>
      <c r="I19" s="176">
        <v>206.87</v>
      </c>
      <c r="J19" s="176">
        <v>204.359</v>
      </c>
      <c r="K19" s="176">
        <v>203.608</v>
      </c>
      <c r="L19" s="176">
        <v>212.201</v>
      </c>
      <c r="M19" s="176">
        <v>205.284</v>
      </c>
      <c r="N19" s="176">
        <v>211.445</v>
      </c>
      <c r="O19" s="176">
        <v>219.212</v>
      </c>
      <c r="P19" s="176">
        <v>206.304</v>
      </c>
      <c r="Q19" s="176">
        <v>173.621</v>
      </c>
      <c r="R19" s="176">
        <v>182.193</v>
      </c>
      <c r="S19" s="176">
        <v>185.685</v>
      </c>
      <c r="T19" s="176">
        <v>172.445</v>
      </c>
      <c r="U19" s="242">
        <v>171.472</v>
      </c>
      <c r="V19" s="234">
        <f t="shared" si="3"/>
        <v>-0.564237872944986</v>
      </c>
      <c r="W19" s="133" t="s">
        <v>67</v>
      </c>
      <c r="X19" s="588"/>
      <c r="Y19" s="595"/>
      <c r="Z19" s="595"/>
      <c r="AA19" s="595"/>
      <c r="AB19" s="595"/>
      <c r="AC19" s="595"/>
      <c r="AD19" s="595"/>
      <c r="AE19" s="595"/>
      <c r="AF19" s="595"/>
      <c r="AG19" s="595"/>
      <c r="AH19" s="595"/>
      <c r="AI19" s="595"/>
      <c r="AJ19" s="595"/>
      <c r="AK19" s="595"/>
    </row>
    <row r="20" spans="1:37" ht="12.75" customHeight="1">
      <c r="A20" s="114"/>
      <c r="B20" s="102" t="s">
        <v>148</v>
      </c>
      <c r="C20" s="212"/>
      <c r="D20" s="177"/>
      <c r="E20" s="177"/>
      <c r="F20" s="178"/>
      <c r="G20" s="177">
        <v>2.424</v>
      </c>
      <c r="H20" s="177">
        <v>2.856</v>
      </c>
      <c r="I20" s="177">
        <v>6.7829999999999995</v>
      </c>
      <c r="J20" s="177">
        <v>7.413</v>
      </c>
      <c r="K20" s="177">
        <v>8.241</v>
      </c>
      <c r="L20" s="177">
        <v>8.818999999999999</v>
      </c>
      <c r="M20" s="177">
        <v>9.328</v>
      </c>
      <c r="N20" s="177">
        <v>10.175</v>
      </c>
      <c r="O20" s="177">
        <v>10.502</v>
      </c>
      <c r="P20" s="177">
        <v>11.042</v>
      </c>
      <c r="Q20" s="177">
        <v>9.426</v>
      </c>
      <c r="R20" s="177">
        <v>8.78</v>
      </c>
      <c r="S20" s="177">
        <v>8.926</v>
      </c>
      <c r="T20" s="177">
        <v>8.649</v>
      </c>
      <c r="U20" s="241">
        <v>9.133</v>
      </c>
      <c r="V20" s="235">
        <f t="shared" si="3"/>
        <v>5.596022661579369</v>
      </c>
      <c r="W20" s="102" t="s">
        <v>148</v>
      </c>
      <c r="X20" s="588"/>
      <c r="Y20" s="595"/>
      <c r="Z20" s="595"/>
      <c r="AA20" s="595"/>
      <c r="AB20" s="595"/>
      <c r="AC20" s="595"/>
      <c r="AD20" s="595"/>
      <c r="AE20" s="595"/>
      <c r="AF20" s="595"/>
      <c r="AG20" s="595"/>
      <c r="AH20" s="595"/>
      <c r="AI20" s="595"/>
      <c r="AJ20" s="595"/>
      <c r="AK20" s="595"/>
    </row>
    <row r="21" spans="1:37" ht="12.75" customHeight="1">
      <c r="A21" s="114"/>
      <c r="B21" s="133" t="s">
        <v>69</v>
      </c>
      <c r="C21" s="450">
        <v>174.431</v>
      </c>
      <c r="D21" s="175">
        <v>175.45</v>
      </c>
      <c r="E21" s="175">
        <v>178.353</v>
      </c>
      <c r="F21" s="175">
        <v>180.482</v>
      </c>
      <c r="G21" s="175">
        <v>177.291</v>
      </c>
      <c r="H21" s="175">
        <v>184.677</v>
      </c>
      <c r="I21" s="175">
        <v>186.513</v>
      </c>
      <c r="J21" s="176">
        <v>192.681</v>
      </c>
      <c r="K21" s="176">
        <v>174.088</v>
      </c>
      <c r="L21" s="176">
        <v>196.98</v>
      </c>
      <c r="M21" s="176">
        <v>211.804</v>
      </c>
      <c r="N21" s="176">
        <v>187.065</v>
      </c>
      <c r="O21" s="176">
        <v>179.411</v>
      </c>
      <c r="P21" s="176">
        <v>180.461</v>
      </c>
      <c r="Q21" s="176">
        <v>167.627</v>
      </c>
      <c r="R21" s="176">
        <v>175.775</v>
      </c>
      <c r="S21" s="176">
        <v>142.843</v>
      </c>
      <c r="T21" s="176">
        <v>124.015</v>
      </c>
      <c r="U21" s="242">
        <v>127.241</v>
      </c>
      <c r="V21" s="234">
        <f t="shared" si="3"/>
        <v>2.6012982300528193</v>
      </c>
      <c r="W21" s="133" t="s">
        <v>69</v>
      </c>
      <c r="X21" s="588"/>
      <c r="Y21" s="595"/>
      <c r="Z21" s="595"/>
      <c r="AA21" s="595"/>
      <c r="AB21" s="595"/>
      <c r="AC21" s="595"/>
      <c r="AD21" s="595"/>
      <c r="AE21" s="595"/>
      <c r="AF21" s="595"/>
      <c r="AG21" s="595"/>
      <c r="AH21" s="595"/>
      <c r="AI21" s="595"/>
      <c r="AJ21" s="595"/>
      <c r="AK21" s="595"/>
    </row>
    <row r="22" spans="1:37" ht="12.75" customHeight="1">
      <c r="A22" s="114"/>
      <c r="B22" s="102" t="s">
        <v>71</v>
      </c>
      <c r="C22" s="212">
        <v>1.2</v>
      </c>
      <c r="D22" s="177">
        <v>1.23</v>
      </c>
      <c r="E22" s="177">
        <v>1.25</v>
      </c>
      <c r="F22" s="177">
        <v>1.29</v>
      </c>
      <c r="G22" s="177">
        <v>1.3</v>
      </c>
      <c r="H22" s="177">
        <v>1.31</v>
      </c>
      <c r="I22" s="177">
        <v>1.32</v>
      </c>
      <c r="J22" s="177">
        <v>1.322</v>
      </c>
      <c r="K22" s="177">
        <v>1.401</v>
      </c>
      <c r="L22" s="177">
        <v>1.119</v>
      </c>
      <c r="M22" s="177">
        <v>1.393</v>
      </c>
      <c r="N22" s="177">
        <v>1.165</v>
      </c>
      <c r="O22" s="177">
        <v>1.202</v>
      </c>
      <c r="P22" s="177">
        <v>1.308</v>
      </c>
      <c r="Q22" s="177">
        <v>0.963</v>
      </c>
      <c r="R22" s="177">
        <v>1.087</v>
      </c>
      <c r="S22" s="177">
        <v>0.941</v>
      </c>
      <c r="T22" s="177">
        <v>0.896</v>
      </c>
      <c r="U22" s="241">
        <v>0.634</v>
      </c>
      <c r="V22" s="235">
        <f t="shared" si="3"/>
        <v>-29.24107142857143</v>
      </c>
      <c r="W22" s="102" t="s">
        <v>71</v>
      </c>
      <c r="X22" s="588"/>
      <c r="Y22" s="595"/>
      <c r="Z22" s="595"/>
      <c r="AA22" s="595"/>
      <c r="AB22" s="595"/>
      <c r="AC22" s="595"/>
      <c r="AD22" s="595"/>
      <c r="AE22" s="595"/>
      <c r="AF22" s="595"/>
      <c r="AG22" s="595"/>
      <c r="AH22" s="595"/>
      <c r="AI22" s="595"/>
      <c r="AJ22" s="595"/>
      <c r="AK22" s="595"/>
    </row>
    <row r="23" spans="1:37" ht="12.75" customHeight="1">
      <c r="A23" s="114"/>
      <c r="B23" s="133" t="s">
        <v>72</v>
      </c>
      <c r="C23" s="331">
        <v>1.83</v>
      </c>
      <c r="D23" s="176">
        <v>2.208</v>
      </c>
      <c r="E23" s="176">
        <v>3.352</v>
      </c>
      <c r="F23" s="176">
        <v>4.108</v>
      </c>
      <c r="G23" s="176">
        <v>4.161</v>
      </c>
      <c r="H23" s="176">
        <v>4.789</v>
      </c>
      <c r="I23" s="176">
        <v>5.36</v>
      </c>
      <c r="J23" s="176">
        <v>6.2</v>
      </c>
      <c r="K23" s="176">
        <v>6.808</v>
      </c>
      <c r="L23" s="176">
        <v>7.381</v>
      </c>
      <c r="M23" s="176">
        <v>8.394</v>
      </c>
      <c r="N23" s="176">
        <v>10.753</v>
      </c>
      <c r="O23" s="176">
        <v>13.204</v>
      </c>
      <c r="P23" s="176">
        <v>12.344</v>
      </c>
      <c r="Q23" s="176">
        <v>8.115</v>
      </c>
      <c r="R23" s="176">
        <v>10.59</v>
      </c>
      <c r="S23" s="176">
        <v>12.131</v>
      </c>
      <c r="T23" s="176">
        <v>12.178</v>
      </c>
      <c r="U23" s="242">
        <v>12.816</v>
      </c>
      <c r="V23" s="234">
        <f t="shared" si="3"/>
        <v>5.238955493512904</v>
      </c>
      <c r="W23" s="133" t="s">
        <v>72</v>
      </c>
      <c r="X23" s="588"/>
      <c r="Y23" s="595"/>
      <c r="Z23" s="595"/>
      <c r="AA23" s="595"/>
      <c r="AB23" s="595"/>
      <c r="AC23" s="595"/>
      <c r="AD23" s="595"/>
      <c r="AE23" s="595"/>
      <c r="AF23" s="595"/>
      <c r="AG23" s="595"/>
      <c r="AH23" s="595"/>
      <c r="AI23" s="595"/>
      <c r="AJ23" s="595"/>
      <c r="AK23" s="595"/>
    </row>
    <row r="24" spans="1:37" ht="12.75" customHeight="1">
      <c r="A24" s="114"/>
      <c r="B24" s="102" t="s">
        <v>73</v>
      </c>
      <c r="C24" s="212">
        <v>5.2</v>
      </c>
      <c r="D24" s="177">
        <v>4.191</v>
      </c>
      <c r="E24" s="177">
        <v>5.146</v>
      </c>
      <c r="F24" s="177">
        <v>5.611</v>
      </c>
      <c r="G24" s="177">
        <v>7.74</v>
      </c>
      <c r="H24" s="177">
        <v>7.769</v>
      </c>
      <c r="I24" s="177">
        <v>8.274</v>
      </c>
      <c r="J24" s="177">
        <v>10.709</v>
      </c>
      <c r="K24" s="177">
        <v>11.462</v>
      </c>
      <c r="L24" s="177">
        <v>12.279</v>
      </c>
      <c r="M24" s="177">
        <v>15.908</v>
      </c>
      <c r="N24" s="177">
        <v>18.134</v>
      </c>
      <c r="O24" s="177">
        <v>20.278</v>
      </c>
      <c r="P24" s="177">
        <v>20.419</v>
      </c>
      <c r="Q24" s="177">
        <v>17.757</v>
      </c>
      <c r="R24" s="177">
        <v>19.398</v>
      </c>
      <c r="S24" s="177">
        <v>21.512</v>
      </c>
      <c r="T24" s="177">
        <v>23.449</v>
      </c>
      <c r="U24" s="241">
        <v>26.338</v>
      </c>
      <c r="V24" s="235">
        <f t="shared" si="3"/>
        <v>12.320354812571964</v>
      </c>
      <c r="W24" s="102" t="s">
        <v>73</v>
      </c>
      <c r="X24" s="588"/>
      <c r="Y24" s="595"/>
      <c r="Z24" s="595"/>
      <c r="AA24" s="595"/>
      <c r="AB24" s="595"/>
      <c r="AC24" s="595"/>
      <c r="AD24" s="595"/>
      <c r="AE24" s="595"/>
      <c r="AF24" s="595"/>
      <c r="AG24" s="595"/>
      <c r="AH24" s="595"/>
      <c r="AI24" s="595"/>
      <c r="AJ24" s="595"/>
      <c r="AK24" s="595"/>
    </row>
    <row r="25" spans="1:37" ht="12.75" customHeight="1">
      <c r="A25" s="114"/>
      <c r="B25" s="133" t="s">
        <v>76</v>
      </c>
      <c r="C25" s="331">
        <v>5.5</v>
      </c>
      <c r="D25" s="176">
        <v>3.5</v>
      </c>
      <c r="E25" s="176">
        <v>4.4</v>
      </c>
      <c r="F25" s="176">
        <v>5</v>
      </c>
      <c r="G25" s="176">
        <v>6.313</v>
      </c>
      <c r="H25" s="176">
        <v>7.609</v>
      </c>
      <c r="I25" s="176">
        <v>8.7</v>
      </c>
      <c r="J25" s="176">
        <v>9.179</v>
      </c>
      <c r="K25" s="176">
        <v>9.645</v>
      </c>
      <c r="L25" s="176">
        <v>9.575</v>
      </c>
      <c r="M25" s="176">
        <v>8.803</v>
      </c>
      <c r="N25" s="176">
        <v>8.807</v>
      </c>
      <c r="O25" s="176">
        <v>9.562</v>
      </c>
      <c r="P25" s="176">
        <v>8.965</v>
      </c>
      <c r="Q25" s="176">
        <v>8.4</v>
      </c>
      <c r="R25" s="176">
        <v>8.694</v>
      </c>
      <c r="S25" s="176">
        <v>8.835</v>
      </c>
      <c r="T25" s="176">
        <v>7.95</v>
      </c>
      <c r="U25" s="242">
        <v>8.606</v>
      </c>
      <c r="V25" s="234">
        <f t="shared" si="3"/>
        <v>8.25157232704403</v>
      </c>
      <c r="W25" s="133" t="s">
        <v>76</v>
      </c>
      <c r="X25" s="588"/>
      <c r="Y25" s="595"/>
      <c r="Z25" s="595"/>
      <c r="AA25" s="595"/>
      <c r="AB25" s="595"/>
      <c r="AC25" s="595"/>
      <c r="AD25" s="595"/>
      <c r="AE25" s="595"/>
      <c r="AF25" s="595"/>
      <c r="AG25" s="595"/>
      <c r="AH25" s="595"/>
      <c r="AI25" s="595"/>
      <c r="AJ25" s="595"/>
      <c r="AK25" s="595"/>
    </row>
    <row r="26" spans="1:37" ht="12.75" customHeight="1">
      <c r="A26" s="114"/>
      <c r="B26" s="102" t="s">
        <v>77</v>
      </c>
      <c r="C26" s="212">
        <v>13.8</v>
      </c>
      <c r="D26" s="177">
        <v>14.3</v>
      </c>
      <c r="E26" s="177">
        <v>14.9</v>
      </c>
      <c r="F26" s="177">
        <v>18.674</v>
      </c>
      <c r="G26" s="177">
        <v>18.599</v>
      </c>
      <c r="H26" s="177">
        <v>19.124</v>
      </c>
      <c r="I26" s="177">
        <v>18.486</v>
      </c>
      <c r="J26" s="177">
        <v>17.913</v>
      </c>
      <c r="K26" s="177">
        <v>18.208</v>
      </c>
      <c r="L26" s="177">
        <v>20.608</v>
      </c>
      <c r="M26" s="177">
        <v>25.152</v>
      </c>
      <c r="N26" s="177">
        <v>30.479</v>
      </c>
      <c r="O26" s="177">
        <v>35.805</v>
      </c>
      <c r="P26" s="177">
        <v>35.759</v>
      </c>
      <c r="Q26" s="177">
        <v>35.373</v>
      </c>
      <c r="R26" s="177">
        <v>33.721</v>
      </c>
      <c r="S26" s="177">
        <v>34.529</v>
      </c>
      <c r="T26" s="177">
        <v>33.736</v>
      </c>
      <c r="U26" s="241">
        <v>35.818</v>
      </c>
      <c r="V26" s="235">
        <f t="shared" si="3"/>
        <v>6.171448897320374</v>
      </c>
      <c r="W26" s="102" t="s">
        <v>77</v>
      </c>
      <c r="X26" s="588"/>
      <c r="Y26" s="595"/>
      <c r="Z26" s="595"/>
      <c r="AA26" s="595"/>
      <c r="AB26" s="595"/>
      <c r="AC26" s="595"/>
      <c r="AD26" s="595"/>
      <c r="AE26" s="595"/>
      <c r="AF26" s="595"/>
      <c r="AG26" s="595"/>
      <c r="AH26" s="595"/>
      <c r="AI26" s="595"/>
      <c r="AJ26" s="595"/>
      <c r="AK26" s="595"/>
    </row>
    <row r="27" spans="1:37" ht="12.75" customHeight="1">
      <c r="A27" s="114"/>
      <c r="B27" s="133" t="s">
        <v>78</v>
      </c>
      <c r="C27" s="450">
        <v>0.25</v>
      </c>
      <c r="D27" s="175">
        <v>0.25</v>
      </c>
      <c r="E27" s="175">
        <v>0.25</v>
      </c>
      <c r="F27" s="175">
        <v>0.25</v>
      </c>
      <c r="G27" s="175">
        <v>0.25</v>
      </c>
      <c r="H27" s="175">
        <v>0.25</v>
      </c>
      <c r="I27" s="175">
        <v>0.25</v>
      </c>
      <c r="J27" s="175">
        <v>0.25</v>
      </c>
      <c r="K27" s="175">
        <v>0.25</v>
      </c>
      <c r="L27" s="175">
        <v>0.25</v>
      </c>
      <c r="M27" s="175">
        <v>0.25</v>
      </c>
      <c r="N27" s="175">
        <v>0.25</v>
      </c>
      <c r="O27" s="175">
        <v>0.25</v>
      </c>
      <c r="P27" s="175">
        <v>0.25</v>
      </c>
      <c r="Q27" s="175">
        <v>0.25</v>
      </c>
      <c r="R27" s="175">
        <v>0.25</v>
      </c>
      <c r="S27" s="175">
        <v>0.25</v>
      </c>
      <c r="T27" s="175">
        <v>0.25</v>
      </c>
      <c r="U27" s="451">
        <v>0.25</v>
      </c>
      <c r="V27" s="452">
        <f t="shared" si="3"/>
        <v>0</v>
      </c>
      <c r="W27" s="133" t="s">
        <v>78</v>
      </c>
      <c r="X27" s="588"/>
      <c r="Y27" s="595"/>
      <c r="Z27" s="595"/>
      <c r="AA27" s="595"/>
      <c r="AB27" s="595"/>
      <c r="AC27" s="595"/>
      <c r="AD27" s="595"/>
      <c r="AE27" s="595"/>
      <c r="AF27" s="595"/>
      <c r="AG27" s="595"/>
      <c r="AH27" s="595"/>
      <c r="AI27" s="595"/>
      <c r="AJ27" s="595"/>
      <c r="AK27" s="595"/>
    </row>
    <row r="28" spans="1:37" ht="12.75" customHeight="1">
      <c r="A28" s="114"/>
      <c r="B28" s="102" t="s">
        <v>16</v>
      </c>
      <c r="C28" s="212">
        <v>67.1</v>
      </c>
      <c r="D28" s="177">
        <v>69.4</v>
      </c>
      <c r="E28" s="177">
        <v>70.6</v>
      </c>
      <c r="F28" s="177">
        <v>78.5</v>
      </c>
      <c r="G28" s="177">
        <v>83.564</v>
      </c>
      <c r="H28" s="177">
        <v>79.565</v>
      </c>
      <c r="I28" s="177">
        <v>78.492</v>
      </c>
      <c r="J28" s="177">
        <v>77.418</v>
      </c>
      <c r="K28" s="177">
        <v>79.765</v>
      </c>
      <c r="L28" s="177">
        <v>89.695</v>
      </c>
      <c r="M28" s="177">
        <v>84.163</v>
      </c>
      <c r="N28" s="177">
        <v>83.193</v>
      </c>
      <c r="O28" s="177">
        <v>77.921</v>
      </c>
      <c r="P28" s="177">
        <v>78.159</v>
      </c>
      <c r="Q28" s="177">
        <v>72.675</v>
      </c>
      <c r="R28" s="177">
        <v>75.783</v>
      </c>
      <c r="S28" s="177">
        <v>73.713</v>
      </c>
      <c r="T28" s="177">
        <v>67.804</v>
      </c>
      <c r="U28" s="241">
        <v>70.184</v>
      </c>
      <c r="V28" s="235">
        <f t="shared" si="3"/>
        <v>3.5101173972037003</v>
      </c>
      <c r="W28" s="102" t="s">
        <v>16</v>
      </c>
      <c r="X28" s="588"/>
      <c r="Y28" s="595"/>
      <c r="Z28" s="595"/>
      <c r="AA28" s="595"/>
      <c r="AB28" s="595"/>
      <c r="AC28" s="595"/>
      <c r="AD28" s="595"/>
      <c r="AE28" s="595"/>
      <c r="AF28" s="595"/>
      <c r="AG28" s="595"/>
      <c r="AH28" s="595"/>
      <c r="AI28" s="595"/>
      <c r="AJ28" s="595"/>
      <c r="AK28" s="595"/>
    </row>
    <row r="29" spans="1:37" ht="12.75" customHeight="1">
      <c r="A29" s="114"/>
      <c r="B29" s="133" t="s">
        <v>81</v>
      </c>
      <c r="C29" s="331">
        <v>26.5</v>
      </c>
      <c r="D29" s="176">
        <v>27.8</v>
      </c>
      <c r="E29" s="176">
        <v>28.6</v>
      </c>
      <c r="F29" s="176">
        <v>30.3</v>
      </c>
      <c r="G29" s="176">
        <v>33.982</v>
      </c>
      <c r="H29" s="176">
        <v>35.122</v>
      </c>
      <c r="I29" s="176">
        <v>37.532</v>
      </c>
      <c r="J29" s="176">
        <v>38.498</v>
      </c>
      <c r="K29" s="176">
        <v>39.557</v>
      </c>
      <c r="L29" s="176">
        <v>39.186</v>
      </c>
      <c r="M29" s="176">
        <v>37.044</v>
      </c>
      <c r="N29" s="176">
        <v>39.187</v>
      </c>
      <c r="O29" s="176">
        <v>37.402</v>
      </c>
      <c r="P29" s="176">
        <v>34.313</v>
      </c>
      <c r="Q29" s="176">
        <v>29.075</v>
      </c>
      <c r="R29" s="176">
        <v>28.659</v>
      </c>
      <c r="S29" s="176">
        <v>28.542</v>
      </c>
      <c r="T29" s="176">
        <v>26.089</v>
      </c>
      <c r="U29" s="242">
        <v>24.213</v>
      </c>
      <c r="V29" s="234">
        <f t="shared" si="3"/>
        <v>-7.1907700563455705</v>
      </c>
      <c r="W29" s="133" t="s">
        <v>81</v>
      </c>
      <c r="X29" s="588"/>
      <c r="Y29" s="595"/>
      <c r="Z29" s="595"/>
      <c r="AA29" s="595"/>
      <c r="AB29" s="595"/>
      <c r="AC29" s="595"/>
      <c r="AD29" s="595"/>
      <c r="AE29" s="595"/>
      <c r="AF29" s="595"/>
      <c r="AG29" s="595"/>
      <c r="AH29" s="595"/>
      <c r="AI29" s="595"/>
      <c r="AJ29" s="595"/>
      <c r="AK29" s="595"/>
    </row>
    <row r="30" spans="1:37" ht="12.75" customHeight="1">
      <c r="A30" s="114"/>
      <c r="B30" s="102" t="s">
        <v>80</v>
      </c>
      <c r="C30" s="453">
        <v>51.2</v>
      </c>
      <c r="D30" s="178">
        <v>56.513000000000005</v>
      </c>
      <c r="E30" s="178">
        <v>63.684</v>
      </c>
      <c r="F30" s="178">
        <v>69.542</v>
      </c>
      <c r="G30" s="178">
        <v>70.452</v>
      </c>
      <c r="H30" s="178">
        <v>75.023</v>
      </c>
      <c r="I30" s="178">
        <v>77.228</v>
      </c>
      <c r="J30" s="178">
        <v>80.318</v>
      </c>
      <c r="K30" s="178">
        <v>85.989</v>
      </c>
      <c r="L30" s="177">
        <v>102.807</v>
      </c>
      <c r="M30" s="177">
        <v>111.826</v>
      </c>
      <c r="N30" s="177">
        <v>128.315</v>
      </c>
      <c r="O30" s="177">
        <v>150.879</v>
      </c>
      <c r="P30" s="177">
        <v>164.93</v>
      </c>
      <c r="Q30" s="177">
        <v>180.742</v>
      </c>
      <c r="R30" s="177">
        <v>202.308</v>
      </c>
      <c r="S30" s="177">
        <v>207.651</v>
      </c>
      <c r="T30" s="177">
        <v>222.332</v>
      </c>
      <c r="U30" s="241">
        <v>247.594</v>
      </c>
      <c r="V30" s="235">
        <f t="shared" si="3"/>
        <v>11.36228703020707</v>
      </c>
      <c r="W30" s="102" t="s">
        <v>80</v>
      </c>
      <c r="X30" s="588"/>
      <c r="Y30" s="595"/>
      <c r="Z30" s="595"/>
      <c r="AA30" s="595"/>
      <c r="AB30" s="595"/>
      <c r="AC30" s="595"/>
      <c r="AD30" s="595"/>
      <c r="AE30" s="595"/>
      <c r="AF30" s="595"/>
      <c r="AG30" s="595"/>
      <c r="AH30" s="595"/>
      <c r="AI30" s="595"/>
      <c r="AJ30" s="595"/>
      <c r="AK30" s="595"/>
    </row>
    <row r="31" spans="1:37" ht="12.75" customHeight="1">
      <c r="A31" s="114"/>
      <c r="B31" s="133" t="s">
        <v>92</v>
      </c>
      <c r="C31" s="331">
        <v>32</v>
      </c>
      <c r="D31" s="176">
        <v>33.64</v>
      </c>
      <c r="E31" s="176">
        <v>35.96</v>
      </c>
      <c r="F31" s="176">
        <v>36.68</v>
      </c>
      <c r="G31" s="218">
        <v>26.087</v>
      </c>
      <c r="H31" s="176">
        <v>26.836</v>
      </c>
      <c r="I31" s="176">
        <v>29.967</v>
      </c>
      <c r="J31" s="176">
        <v>29.724</v>
      </c>
      <c r="K31" s="176">
        <v>27.425</v>
      </c>
      <c r="L31" s="218">
        <v>40.819</v>
      </c>
      <c r="M31" s="176">
        <v>42.607</v>
      </c>
      <c r="N31" s="176">
        <v>44.835</v>
      </c>
      <c r="O31" s="176">
        <v>46.203</v>
      </c>
      <c r="P31" s="176">
        <v>39.091</v>
      </c>
      <c r="Q31" s="176">
        <v>35.808</v>
      </c>
      <c r="R31" s="176">
        <v>35.368</v>
      </c>
      <c r="S31" s="176">
        <v>36.453</v>
      </c>
      <c r="T31" s="176">
        <v>32.935</v>
      </c>
      <c r="U31" s="242">
        <v>36.555</v>
      </c>
      <c r="V31" s="234">
        <f t="shared" si="3"/>
        <v>10.99134659177166</v>
      </c>
      <c r="W31" s="133" t="s">
        <v>92</v>
      </c>
      <c r="X31" s="588"/>
      <c r="Y31" s="595"/>
      <c r="Z31" s="595"/>
      <c r="AA31" s="595"/>
      <c r="AB31" s="595"/>
      <c r="AC31" s="595"/>
      <c r="AD31" s="595"/>
      <c r="AE31" s="595"/>
      <c r="AF31" s="595"/>
      <c r="AG31" s="595"/>
      <c r="AH31" s="595"/>
      <c r="AI31" s="595"/>
      <c r="AJ31" s="595"/>
      <c r="AK31" s="595"/>
    </row>
    <row r="32" spans="1:37" ht="12.75" customHeight="1">
      <c r="A32" s="114"/>
      <c r="B32" s="102" t="s">
        <v>102</v>
      </c>
      <c r="C32" s="208">
        <v>19.7</v>
      </c>
      <c r="D32" s="179">
        <v>19.8</v>
      </c>
      <c r="E32" s="179">
        <v>21.8</v>
      </c>
      <c r="F32" s="179">
        <v>15.785</v>
      </c>
      <c r="G32" s="179">
        <v>13.456</v>
      </c>
      <c r="H32" s="174">
        <v>14.288</v>
      </c>
      <c r="I32" s="179">
        <v>18.544</v>
      </c>
      <c r="J32" s="179">
        <v>25.35</v>
      </c>
      <c r="K32" s="179">
        <v>30.853</v>
      </c>
      <c r="L32" s="179">
        <v>37.22</v>
      </c>
      <c r="M32" s="179">
        <v>51.532</v>
      </c>
      <c r="N32" s="179">
        <v>57.288</v>
      </c>
      <c r="O32" s="179">
        <v>59.524</v>
      </c>
      <c r="P32" s="179">
        <v>56.386</v>
      </c>
      <c r="Q32" s="179">
        <v>34.269</v>
      </c>
      <c r="R32" s="179">
        <v>25.889</v>
      </c>
      <c r="S32" s="179">
        <v>26.349</v>
      </c>
      <c r="T32" s="179">
        <v>29.662</v>
      </c>
      <c r="U32" s="181">
        <v>34.026</v>
      </c>
      <c r="V32" s="235">
        <f t="shared" si="3"/>
        <v>14.712426673858815</v>
      </c>
      <c r="W32" s="102" t="s">
        <v>102</v>
      </c>
      <c r="X32" s="588"/>
      <c r="Y32" s="595"/>
      <c r="Z32" s="595"/>
      <c r="AA32" s="595"/>
      <c r="AB32" s="595"/>
      <c r="AC32" s="595"/>
      <c r="AD32" s="595"/>
      <c r="AE32" s="595"/>
      <c r="AF32" s="595"/>
      <c r="AG32" s="595"/>
      <c r="AH32" s="595"/>
      <c r="AI32" s="595"/>
      <c r="AJ32" s="595"/>
      <c r="AK32" s="595"/>
    </row>
    <row r="33" spans="1:37" ht="12.75" customHeight="1">
      <c r="A33" s="114"/>
      <c r="B33" s="133" t="s">
        <v>83</v>
      </c>
      <c r="C33" s="331">
        <v>3.3</v>
      </c>
      <c r="D33" s="176">
        <v>3.5</v>
      </c>
      <c r="E33" s="176">
        <v>3.9</v>
      </c>
      <c r="F33" s="176">
        <v>3.8</v>
      </c>
      <c r="G33" s="176">
        <v>4.2</v>
      </c>
      <c r="H33" s="176">
        <v>5.3</v>
      </c>
      <c r="I33" s="176">
        <v>7.035</v>
      </c>
      <c r="J33" s="176">
        <v>6.609</v>
      </c>
      <c r="K33" s="176">
        <v>7.04</v>
      </c>
      <c r="L33" s="176">
        <v>9.007</v>
      </c>
      <c r="M33" s="176">
        <v>11.032</v>
      </c>
      <c r="N33" s="176">
        <v>12.112</v>
      </c>
      <c r="O33" s="176">
        <v>13.734</v>
      </c>
      <c r="P33" s="176">
        <v>16.261</v>
      </c>
      <c r="Q33" s="176">
        <v>14.762</v>
      </c>
      <c r="R33" s="176">
        <v>15.931</v>
      </c>
      <c r="S33" s="176">
        <v>16.439</v>
      </c>
      <c r="T33" s="176">
        <v>15.888</v>
      </c>
      <c r="U33" s="242">
        <v>15.905</v>
      </c>
      <c r="V33" s="234">
        <f t="shared" si="3"/>
        <v>0.10699899295065052</v>
      </c>
      <c r="W33" s="133" t="s">
        <v>83</v>
      </c>
      <c r="X33" s="588"/>
      <c r="Y33" s="595"/>
      <c r="Z33" s="595"/>
      <c r="AA33" s="595"/>
      <c r="AB33" s="595"/>
      <c r="AC33" s="595"/>
      <c r="AD33" s="595"/>
      <c r="AE33" s="595"/>
      <c r="AF33" s="595"/>
      <c r="AG33" s="595"/>
      <c r="AH33" s="595"/>
      <c r="AI33" s="595"/>
      <c r="AJ33" s="595"/>
      <c r="AK33" s="595"/>
    </row>
    <row r="34" spans="1:37" ht="12.75" customHeight="1">
      <c r="A34" s="114"/>
      <c r="B34" s="102" t="s">
        <v>85</v>
      </c>
      <c r="C34" s="208">
        <v>15.9</v>
      </c>
      <c r="D34" s="179">
        <v>15.85</v>
      </c>
      <c r="E34" s="179">
        <v>15.35</v>
      </c>
      <c r="F34" s="179">
        <v>17.88</v>
      </c>
      <c r="G34" s="179">
        <v>18.52</v>
      </c>
      <c r="H34" s="179">
        <v>14.34</v>
      </c>
      <c r="I34" s="179">
        <v>13.8</v>
      </c>
      <c r="J34" s="179">
        <v>14.93</v>
      </c>
      <c r="K34" s="179">
        <v>16.748</v>
      </c>
      <c r="L34" s="179">
        <v>18.527</v>
      </c>
      <c r="M34" s="179">
        <v>22.566</v>
      </c>
      <c r="N34" s="179">
        <v>22.212</v>
      </c>
      <c r="O34" s="179">
        <v>27.159</v>
      </c>
      <c r="P34" s="179">
        <v>29.276</v>
      </c>
      <c r="Q34" s="179">
        <v>27.705</v>
      </c>
      <c r="R34" s="179">
        <v>27.575</v>
      </c>
      <c r="S34" s="179">
        <v>29.179</v>
      </c>
      <c r="T34" s="179">
        <v>29.693</v>
      </c>
      <c r="U34" s="181">
        <v>30.147</v>
      </c>
      <c r="V34" s="235">
        <f t="shared" si="3"/>
        <v>1.5289798942511652</v>
      </c>
      <c r="W34" s="102" t="s">
        <v>85</v>
      </c>
      <c r="X34" s="588"/>
      <c r="Y34" s="595"/>
      <c r="Z34" s="595"/>
      <c r="AA34" s="595"/>
      <c r="AB34" s="595"/>
      <c r="AC34" s="595"/>
      <c r="AD34" s="595"/>
      <c r="AE34" s="595"/>
      <c r="AF34" s="595"/>
      <c r="AG34" s="595"/>
      <c r="AH34" s="595"/>
      <c r="AI34" s="595"/>
      <c r="AJ34" s="595"/>
      <c r="AK34" s="595"/>
    </row>
    <row r="35" spans="1:37" ht="12.75" customHeight="1">
      <c r="A35" s="114"/>
      <c r="B35" s="133" t="s">
        <v>87</v>
      </c>
      <c r="C35" s="331">
        <v>24.5</v>
      </c>
      <c r="D35" s="176">
        <v>25</v>
      </c>
      <c r="E35" s="176">
        <v>25.7</v>
      </c>
      <c r="F35" s="176">
        <v>28.1</v>
      </c>
      <c r="G35" s="176">
        <v>29.656</v>
      </c>
      <c r="H35" s="176">
        <v>31.975</v>
      </c>
      <c r="I35" s="176">
        <v>30.478</v>
      </c>
      <c r="J35" s="176">
        <v>31.967</v>
      </c>
      <c r="K35" s="176">
        <v>30.926</v>
      </c>
      <c r="L35" s="176">
        <v>32.29</v>
      </c>
      <c r="M35" s="176">
        <v>31.857</v>
      </c>
      <c r="N35" s="176">
        <v>29.715</v>
      </c>
      <c r="O35" s="176">
        <v>29.819</v>
      </c>
      <c r="P35" s="176">
        <v>31.036</v>
      </c>
      <c r="Q35" s="176">
        <v>27.805</v>
      </c>
      <c r="R35" s="176">
        <v>29.532</v>
      </c>
      <c r="S35" s="176">
        <v>26.863</v>
      </c>
      <c r="T35" s="176">
        <v>25.46</v>
      </c>
      <c r="U35" s="242">
        <v>24.429</v>
      </c>
      <c r="V35" s="234">
        <f t="shared" si="3"/>
        <v>-4.049489395129626</v>
      </c>
      <c r="W35" s="133" t="s">
        <v>87</v>
      </c>
      <c r="X35" s="588"/>
      <c r="Y35" s="595"/>
      <c r="Z35" s="595"/>
      <c r="AA35" s="595"/>
      <c r="AB35" s="595"/>
      <c r="AC35" s="595"/>
      <c r="AD35" s="595"/>
      <c r="AE35" s="595"/>
      <c r="AF35" s="595"/>
      <c r="AG35" s="595"/>
      <c r="AH35" s="595"/>
      <c r="AI35" s="595"/>
      <c r="AJ35" s="595"/>
      <c r="AK35" s="595"/>
    </row>
    <row r="36" spans="1:37" ht="12.75" customHeight="1">
      <c r="A36" s="114"/>
      <c r="B36" s="102" t="s">
        <v>88</v>
      </c>
      <c r="C36" s="208">
        <v>31.6</v>
      </c>
      <c r="D36" s="179">
        <v>33.3</v>
      </c>
      <c r="E36" s="179">
        <v>35.1</v>
      </c>
      <c r="F36" s="179">
        <v>33.3</v>
      </c>
      <c r="G36" s="179">
        <v>33.2</v>
      </c>
      <c r="H36" s="179">
        <v>35.621</v>
      </c>
      <c r="I36" s="179">
        <v>34.158</v>
      </c>
      <c r="J36" s="179">
        <v>36.652</v>
      </c>
      <c r="K36" s="179">
        <v>36.638</v>
      </c>
      <c r="L36" s="179">
        <v>36.949</v>
      </c>
      <c r="M36" s="179">
        <v>38.575</v>
      </c>
      <c r="N36" s="179">
        <v>39.918</v>
      </c>
      <c r="O36" s="179">
        <v>40.54</v>
      </c>
      <c r="P36" s="179">
        <v>42.37</v>
      </c>
      <c r="Q36" s="179">
        <v>35.047</v>
      </c>
      <c r="R36" s="179">
        <v>36.268</v>
      </c>
      <c r="S36" s="179">
        <v>36.932</v>
      </c>
      <c r="T36" s="179">
        <v>33.481</v>
      </c>
      <c r="U36" s="181">
        <v>33.529</v>
      </c>
      <c r="V36" s="235">
        <f t="shared" si="3"/>
        <v>0.14336489352172066</v>
      </c>
      <c r="W36" s="102" t="s">
        <v>88</v>
      </c>
      <c r="X36" s="588"/>
      <c r="Y36" s="595"/>
      <c r="Z36" s="595"/>
      <c r="AA36" s="595"/>
      <c r="AB36" s="595"/>
      <c r="AC36" s="595"/>
      <c r="AD36" s="595"/>
      <c r="AE36" s="595"/>
      <c r="AF36" s="595"/>
      <c r="AG36" s="595"/>
      <c r="AH36" s="595"/>
      <c r="AI36" s="595"/>
      <c r="AJ36" s="595"/>
      <c r="AK36" s="595"/>
    </row>
    <row r="37" spans="1:37" ht="12.75" customHeight="1">
      <c r="A37" s="114"/>
      <c r="B37" s="134" t="s">
        <v>13</v>
      </c>
      <c r="C37" s="454">
        <v>161.5</v>
      </c>
      <c r="D37" s="220">
        <v>166.2</v>
      </c>
      <c r="E37" s="220">
        <v>169.2</v>
      </c>
      <c r="F37" s="220">
        <v>172</v>
      </c>
      <c r="G37" s="220">
        <v>166.26</v>
      </c>
      <c r="H37" s="220">
        <v>165.621</v>
      </c>
      <c r="I37" s="220">
        <v>163.264</v>
      </c>
      <c r="J37" s="220">
        <v>164.035</v>
      </c>
      <c r="K37" s="220">
        <v>167.143</v>
      </c>
      <c r="L37" s="220">
        <v>162.654</v>
      </c>
      <c r="M37" s="220">
        <v>161.285</v>
      </c>
      <c r="N37" s="220">
        <v>165.479</v>
      </c>
      <c r="O37" s="220">
        <v>170.991</v>
      </c>
      <c r="P37" s="220">
        <v>160.296</v>
      </c>
      <c r="Q37" s="220">
        <v>139.536</v>
      </c>
      <c r="R37" s="220">
        <v>146.685</v>
      </c>
      <c r="S37" s="220">
        <v>153.517</v>
      </c>
      <c r="T37" s="220">
        <v>158.461</v>
      </c>
      <c r="U37" s="350">
        <v>147.188</v>
      </c>
      <c r="V37" s="455">
        <f t="shared" si="3"/>
        <v>-7.114053300181126</v>
      </c>
      <c r="W37" s="134" t="s">
        <v>13</v>
      </c>
      <c r="X37" s="588"/>
      <c r="Y37" s="595"/>
      <c r="Z37" s="595"/>
      <c r="AA37" s="595"/>
      <c r="AB37" s="595"/>
      <c r="AC37" s="595"/>
      <c r="AD37" s="595"/>
      <c r="AE37" s="595"/>
      <c r="AF37" s="595"/>
      <c r="AG37" s="595"/>
      <c r="AH37" s="595"/>
      <c r="AI37" s="595"/>
      <c r="AJ37" s="595"/>
      <c r="AK37" s="595"/>
    </row>
    <row r="38" spans="1:24" ht="12.75" customHeight="1">
      <c r="A38" s="114"/>
      <c r="B38" s="102" t="s">
        <v>310</v>
      </c>
      <c r="C38" s="212">
        <v>2.077</v>
      </c>
      <c r="D38" s="177">
        <v>2.248</v>
      </c>
      <c r="E38" s="177">
        <v>1.34</v>
      </c>
      <c r="F38" s="177">
        <v>1.83</v>
      </c>
      <c r="G38" s="177">
        <v>2.011</v>
      </c>
      <c r="H38" s="177">
        <v>2.164</v>
      </c>
      <c r="I38" s="177">
        <v>2.231</v>
      </c>
      <c r="J38" s="177">
        <v>2.352</v>
      </c>
      <c r="K38" s="177">
        <v>2.53</v>
      </c>
      <c r="L38" s="177">
        <v>2.798</v>
      </c>
      <c r="M38" s="177">
        <v>3.21</v>
      </c>
      <c r="N38" s="177">
        <v>3.306</v>
      </c>
      <c r="O38" s="177">
        <v>3.584</v>
      </c>
      <c r="P38" s="177">
        <v>4.098</v>
      </c>
      <c r="Q38" s="177">
        <v>4.445</v>
      </c>
      <c r="R38" s="177">
        <v>4.626</v>
      </c>
      <c r="S38" s="177">
        <v>3.805</v>
      </c>
      <c r="T38" s="177">
        <v>3.223</v>
      </c>
      <c r="U38" s="241">
        <v>3.497</v>
      </c>
      <c r="V38" s="235">
        <f t="shared" si="3"/>
        <v>8.501396214706801</v>
      </c>
      <c r="W38" s="102" t="s">
        <v>310</v>
      </c>
      <c r="X38" s="343"/>
    </row>
    <row r="39" spans="1:24" ht="12.75" customHeight="1">
      <c r="A39" s="114"/>
      <c r="B39" s="294" t="s">
        <v>244</v>
      </c>
      <c r="C39" s="479"/>
      <c r="D39" s="332"/>
      <c r="E39" s="332"/>
      <c r="F39" s="332"/>
      <c r="G39" s="332"/>
      <c r="H39" s="332"/>
      <c r="I39" s="332">
        <v>0.078</v>
      </c>
      <c r="J39" s="332">
        <v>0.071</v>
      </c>
      <c r="K39" s="332">
        <v>0.071</v>
      </c>
      <c r="L39" s="332">
        <v>0.065</v>
      </c>
      <c r="M39" s="332">
        <v>0.061</v>
      </c>
      <c r="N39" s="332">
        <v>0.073</v>
      </c>
      <c r="O39" s="332">
        <v>0.092</v>
      </c>
      <c r="P39" s="332">
        <v>0.137</v>
      </c>
      <c r="Q39" s="332">
        <v>0.179</v>
      </c>
      <c r="R39" s="332">
        <v>0.167</v>
      </c>
      <c r="S39" s="332">
        <v>0.102</v>
      </c>
      <c r="T39" s="332">
        <v>0.076</v>
      </c>
      <c r="U39" s="333">
        <v>0.067</v>
      </c>
      <c r="V39" s="484">
        <f t="shared" si="3"/>
        <v>-11.84210526315789</v>
      </c>
      <c r="W39" s="294" t="s">
        <v>244</v>
      </c>
      <c r="X39" s="343"/>
    </row>
    <row r="40" spans="1:24" ht="12.75" customHeight="1">
      <c r="A40" s="114"/>
      <c r="B40" s="102" t="s">
        <v>149</v>
      </c>
      <c r="C40" s="212" t="s">
        <v>99</v>
      </c>
      <c r="D40" s="177" t="s">
        <v>99</v>
      </c>
      <c r="E40" s="177" t="s">
        <v>99</v>
      </c>
      <c r="F40" s="177" t="s">
        <v>99</v>
      </c>
      <c r="G40" s="177"/>
      <c r="H40" s="177">
        <v>3.5</v>
      </c>
      <c r="I40" s="177">
        <v>3.131</v>
      </c>
      <c r="J40" s="177">
        <v>4</v>
      </c>
      <c r="K40" s="177">
        <v>5.451</v>
      </c>
      <c r="L40" s="177">
        <v>5.341</v>
      </c>
      <c r="M40" s="177">
        <v>5.577</v>
      </c>
      <c r="N40" s="177">
        <v>8.299</v>
      </c>
      <c r="O40" s="177">
        <v>5.938</v>
      </c>
      <c r="P40" s="177">
        <v>3.978</v>
      </c>
      <c r="Q40" s="177">
        <v>4.035</v>
      </c>
      <c r="R40" s="177">
        <v>4.235</v>
      </c>
      <c r="S40" s="177">
        <v>5.381</v>
      </c>
      <c r="T40" s="177">
        <v>5.802</v>
      </c>
      <c r="U40" s="241">
        <v>5.145</v>
      </c>
      <c r="V40" s="235">
        <f t="shared" si="3"/>
        <v>-11.323681489141677</v>
      </c>
      <c r="W40" s="102" t="s">
        <v>149</v>
      </c>
      <c r="X40" s="343"/>
    </row>
    <row r="41" spans="1:24" ht="12.75" customHeight="1">
      <c r="A41" s="114"/>
      <c r="B41" s="294" t="s">
        <v>245</v>
      </c>
      <c r="C41" s="479"/>
      <c r="D41" s="332"/>
      <c r="E41" s="332">
        <v>0.968</v>
      </c>
      <c r="F41" s="332">
        <v>0.875</v>
      </c>
      <c r="G41" s="332">
        <v>0.552</v>
      </c>
      <c r="H41" s="332">
        <v>0.582</v>
      </c>
      <c r="I41" s="332">
        <v>0.475</v>
      </c>
      <c r="J41" s="332">
        <v>0.459</v>
      </c>
      <c r="K41" s="332">
        <v>0.452</v>
      </c>
      <c r="L41" s="332">
        <v>0.277</v>
      </c>
      <c r="M41" s="332">
        <v>0.68</v>
      </c>
      <c r="N41" s="332">
        <v>0.798</v>
      </c>
      <c r="O41" s="332">
        <v>1.161</v>
      </c>
      <c r="P41" s="332">
        <v>1.112</v>
      </c>
      <c r="Q41" s="332">
        <v>1.185</v>
      </c>
      <c r="R41" s="332">
        <v>1.689</v>
      </c>
      <c r="S41" s="332">
        <v>1.907</v>
      </c>
      <c r="T41" s="332">
        <v>2.474</v>
      </c>
      <c r="U41" s="333">
        <v>2.824</v>
      </c>
      <c r="V41" s="484">
        <f t="shared" si="3"/>
        <v>14.147130153597388</v>
      </c>
      <c r="W41" s="294" t="s">
        <v>245</v>
      </c>
      <c r="X41" s="343"/>
    </row>
    <row r="42" spans="1:24" ht="12.75" customHeight="1">
      <c r="A42" s="114"/>
      <c r="B42" s="103" t="s">
        <v>249</v>
      </c>
      <c r="C42" s="334">
        <v>112.5</v>
      </c>
      <c r="D42" s="335">
        <v>135.8</v>
      </c>
      <c r="E42" s="335">
        <v>139.8</v>
      </c>
      <c r="F42" s="335">
        <v>152.21</v>
      </c>
      <c r="G42" s="335">
        <v>150.974</v>
      </c>
      <c r="H42" s="335">
        <v>161.552</v>
      </c>
      <c r="I42" s="335">
        <v>151.421</v>
      </c>
      <c r="J42" s="335">
        <v>150.912</v>
      </c>
      <c r="K42" s="335">
        <v>152.163</v>
      </c>
      <c r="L42" s="335">
        <v>156.853</v>
      </c>
      <c r="M42" s="335">
        <v>166.831</v>
      </c>
      <c r="N42" s="335">
        <v>177.399</v>
      </c>
      <c r="O42" s="335">
        <v>181.33</v>
      </c>
      <c r="P42" s="335">
        <v>181.935</v>
      </c>
      <c r="Q42" s="335">
        <v>176.455</v>
      </c>
      <c r="R42" s="335">
        <v>190.365</v>
      </c>
      <c r="S42" s="335">
        <v>203.072</v>
      </c>
      <c r="T42" s="335">
        <f>'[1]road_by_nat'!T42</f>
        <v>216.123</v>
      </c>
      <c r="U42" s="336">
        <v>224.048</v>
      </c>
      <c r="V42" s="457">
        <f t="shared" si="3"/>
        <v>3.6668933894125075</v>
      </c>
      <c r="W42" s="103" t="s">
        <v>249</v>
      </c>
      <c r="X42" s="343"/>
    </row>
    <row r="43" spans="1:24" ht="12.75" customHeight="1">
      <c r="A43" s="114"/>
      <c r="B43" s="522" t="s">
        <v>315</v>
      </c>
      <c r="C43" s="596">
        <v>0.5</v>
      </c>
      <c r="D43" s="473">
        <v>0.5</v>
      </c>
      <c r="E43" s="473">
        <v>0.5</v>
      </c>
      <c r="F43" s="473">
        <v>0.5</v>
      </c>
      <c r="G43" s="473">
        <v>0.6</v>
      </c>
      <c r="H43" s="473">
        <v>0.6</v>
      </c>
      <c r="I43" s="547">
        <v>0.642</v>
      </c>
      <c r="J43" s="547">
        <v>0.66</v>
      </c>
      <c r="K43" s="547">
        <v>0.679</v>
      </c>
      <c r="L43" s="547">
        <v>0.699</v>
      </c>
      <c r="M43" s="547">
        <v>0.741</v>
      </c>
      <c r="N43" s="547">
        <v>0.786</v>
      </c>
      <c r="O43" s="547">
        <v>0.825</v>
      </c>
      <c r="P43" s="547">
        <v>0.805</v>
      </c>
      <c r="Q43" s="547">
        <v>0.813</v>
      </c>
      <c r="R43" s="547">
        <v>0.806</v>
      </c>
      <c r="S43" s="547">
        <v>0.777</v>
      </c>
      <c r="T43" s="547">
        <v>0.786</v>
      </c>
      <c r="U43" s="597">
        <v>0.808</v>
      </c>
      <c r="V43" s="598">
        <f t="shared" si="3"/>
        <v>2.79898218829517</v>
      </c>
      <c r="W43" s="522" t="s">
        <v>315</v>
      </c>
      <c r="X43" s="343"/>
    </row>
    <row r="44" spans="1:24" ht="12.75" customHeight="1">
      <c r="A44" s="114"/>
      <c r="B44" s="102" t="s">
        <v>152</v>
      </c>
      <c r="C44" s="212">
        <v>9.7</v>
      </c>
      <c r="D44" s="177">
        <v>12.5</v>
      </c>
      <c r="E44" s="177">
        <v>14.1</v>
      </c>
      <c r="F44" s="177">
        <v>14.8</v>
      </c>
      <c r="G44" s="177">
        <v>14.916</v>
      </c>
      <c r="H44" s="177">
        <v>15.132</v>
      </c>
      <c r="I44" s="177">
        <v>15.179</v>
      </c>
      <c r="J44" s="177">
        <v>15.426</v>
      </c>
      <c r="K44" s="177">
        <v>16.59</v>
      </c>
      <c r="L44" s="177">
        <v>17.46</v>
      </c>
      <c r="M44" s="177">
        <v>18.247</v>
      </c>
      <c r="N44" s="177">
        <v>19.387</v>
      </c>
      <c r="O44" s="177">
        <v>19.375</v>
      </c>
      <c r="P44" s="177">
        <v>20.595</v>
      </c>
      <c r="Q44" s="177">
        <v>18.447</v>
      </c>
      <c r="R44" s="177">
        <v>19.751</v>
      </c>
      <c r="S44" s="177">
        <v>19.188</v>
      </c>
      <c r="T44" s="177">
        <v>20.171</v>
      </c>
      <c r="U44" s="241">
        <v>21.317</v>
      </c>
      <c r="V44" s="235">
        <f>U44/T44*100-100</f>
        <v>5.681423826285268</v>
      </c>
      <c r="W44" s="102" t="s">
        <v>152</v>
      </c>
      <c r="X44" s="343"/>
    </row>
    <row r="45" spans="1:24" ht="12.75" customHeight="1">
      <c r="A45" s="114"/>
      <c r="B45" s="477" t="s">
        <v>250</v>
      </c>
      <c r="C45" s="486">
        <v>9.1107</v>
      </c>
      <c r="D45" s="471">
        <v>8.9961</v>
      </c>
      <c r="E45" s="471">
        <v>9.1339</v>
      </c>
      <c r="F45" s="471">
        <v>9.5456</v>
      </c>
      <c r="G45" s="471">
        <v>9.565</v>
      </c>
      <c r="H45" s="471">
        <v>9.7913</v>
      </c>
      <c r="I45" s="471">
        <v>9.5618</v>
      </c>
      <c r="J45" s="471">
        <v>9.8147</v>
      </c>
      <c r="K45" s="471">
        <v>9.8916</v>
      </c>
      <c r="L45" s="471">
        <v>10.126178484062402</v>
      </c>
      <c r="M45" s="471">
        <v>10.198044499594255</v>
      </c>
      <c r="N45" s="471">
        <v>10.43279130775176</v>
      </c>
      <c r="O45" s="467">
        <v>10.79415384490122</v>
      </c>
      <c r="P45" s="471">
        <v>13.911</v>
      </c>
      <c r="Q45" s="471">
        <v>13.174</v>
      </c>
      <c r="R45" s="471">
        <v>13.237</v>
      </c>
      <c r="S45" s="471">
        <v>13.567</v>
      </c>
      <c r="T45" s="471">
        <v>12.957</v>
      </c>
      <c r="U45" s="528">
        <v>12.817</v>
      </c>
      <c r="V45" s="485">
        <f>U45/T45*100-100</f>
        <v>-1.0804970286331752</v>
      </c>
      <c r="W45" s="477" t="s">
        <v>250</v>
      </c>
      <c r="X45" s="343"/>
    </row>
    <row r="46" spans="1:24" ht="12.75" customHeight="1">
      <c r="A46" s="114"/>
      <c r="B46" s="108"/>
      <c r="C46" s="108"/>
      <c r="D46" s="108"/>
      <c r="E46" s="108"/>
      <c r="F46" s="108"/>
      <c r="G46" s="108"/>
      <c r="H46" s="108"/>
      <c r="I46" s="108"/>
      <c r="J46" s="108"/>
      <c r="K46" s="108"/>
      <c r="L46" s="108"/>
      <c r="M46" s="108"/>
      <c r="N46" s="108"/>
      <c r="O46" s="108"/>
      <c r="P46" s="108"/>
      <c r="Q46" s="108"/>
      <c r="R46" s="108"/>
      <c r="S46" s="108"/>
      <c r="T46" s="108"/>
      <c r="U46" s="108"/>
      <c r="V46" s="108"/>
      <c r="W46" s="108"/>
      <c r="X46" s="343"/>
    </row>
    <row r="47" spans="2:24" ht="15.75" customHeight="1">
      <c r="B47" s="1082" t="s">
        <v>316</v>
      </c>
      <c r="C47" s="1082"/>
      <c r="D47" s="1082"/>
      <c r="E47" s="1082"/>
      <c r="F47" s="1082"/>
      <c r="G47" s="1082"/>
      <c r="H47" s="1082"/>
      <c r="I47" s="1082"/>
      <c r="J47" s="1082"/>
      <c r="K47" s="1082"/>
      <c r="L47" s="1082"/>
      <c r="M47" s="1082"/>
      <c r="N47" s="1082"/>
      <c r="O47" s="1082"/>
      <c r="P47" s="1082"/>
      <c r="Q47" s="1082"/>
      <c r="R47" s="1082"/>
      <c r="S47" s="1082"/>
      <c r="T47" s="1082"/>
      <c r="U47" s="1082"/>
      <c r="V47" s="1082"/>
      <c r="W47" s="1082"/>
      <c r="X47" s="1082"/>
    </row>
    <row r="48" ht="12.75" customHeight="1">
      <c r="B48" s="118" t="s">
        <v>174</v>
      </c>
    </row>
    <row r="49" ht="12.75" customHeight="1">
      <c r="B49" s="96" t="s">
        <v>228</v>
      </c>
    </row>
    <row r="50" ht="12.75" customHeight="1">
      <c r="B50" s="197" t="s">
        <v>229</v>
      </c>
    </row>
    <row r="51" spans="2:13" ht="12.75" customHeight="1">
      <c r="B51" s="228" t="s">
        <v>317</v>
      </c>
      <c r="C51" s="344"/>
      <c r="D51" s="344"/>
      <c r="E51" s="344"/>
      <c r="F51" s="344"/>
      <c r="G51" s="344"/>
      <c r="H51" s="344"/>
      <c r="I51" s="344"/>
      <c r="J51" s="344"/>
      <c r="K51" s="344"/>
      <c r="L51" s="344"/>
      <c r="M51" s="344"/>
    </row>
    <row r="52" spans="2:24" ht="14.25" customHeight="1">
      <c r="B52" s="1079" t="s">
        <v>251</v>
      </c>
      <c r="C52" s="1079"/>
      <c r="D52" s="1079"/>
      <c r="E52" s="1079"/>
      <c r="F52" s="1079"/>
      <c r="G52" s="1079"/>
      <c r="H52" s="1079"/>
      <c r="I52" s="1079"/>
      <c r="J52" s="1079"/>
      <c r="K52" s="1079"/>
      <c r="L52" s="1079"/>
      <c r="M52" s="1079"/>
      <c r="N52" s="1079"/>
      <c r="O52" s="1079"/>
      <c r="P52" s="1079"/>
      <c r="Q52" s="1079"/>
      <c r="R52" s="1079"/>
      <c r="S52" s="1079"/>
      <c r="T52" s="1079"/>
      <c r="U52" s="1079"/>
      <c r="V52" s="1079"/>
      <c r="W52" s="1079"/>
      <c r="X52" s="1079"/>
    </row>
  </sheetData>
  <sheetProtection/>
  <mergeCells count="4">
    <mergeCell ref="B52:X52"/>
    <mergeCell ref="B2:X2"/>
    <mergeCell ref="B3:X3"/>
    <mergeCell ref="B47:X4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AO74"/>
  <sheetViews>
    <sheetView zoomScalePageLayoutView="0" workbookViewId="0" topLeftCell="A1">
      <selection activeCell="A1" sqref="A1"/>
    </sheetView>
  </sheetViews>
  <sheetFormatPr defaultColWidth="9.140625" defaultRowHeight="12.75"/>
  <cols>
    <col min="1" max="1" width="3.57421875" style="0" customWidth="1"/>
    <col min="2" max="2" width="7.28125" style="96" customWidth="1"/>
    <col min="3" max="20" width="6.7109375" style="96" customWidth="1"/>
    <col min="21" max="28" width="7.28125" style="96" customWidth="1"/>
    <col min="29" max="29" width="6.28125" style="96" customWidth="1"/>
    <col min="30" max="30" width="5.57421875" style="96" customWidth="1"/>
    <col min="31" max="16384" width="9.140625" style="96" customWidth="1"/>
  </cols>
  <sheetData>
    <row r="1" spans="2:30" ht="14.25" customHeight="1">
      <c r="B1" s="194"/>
      <c r="C1" s="253"/>
      <c r="D1" s="253"/>
      <c r="E1" s="95"/>
      <c r="F1" s="95"/>
      <c r="G1" s="95"/>
      <c r="H1" s="95"/>
      <c r="I1" s="95"/>
      <c r="J1" s="95"/>
      <c r="K1" s="95"/>
      <c r="L1" s="95"/>
      <c r="M1" s="95"/>
      <c r="N1" s="95"/>
      <c r="O1" s="95"/>
      <c r="P1" s="95"/>
      <c r="Q1" s="95"/>
      <c r="U1" s="97"/>
      <c r="V1" s="97"/>
      <c r="W1" s="97"/>
      <c r="X1" s="97"/>
      <c r="Y1" s="97"/>
      <c r="Z1" s="97"/>
      <c r="AA1" s="97"/>
      <c r="AB1" s="97"/>
      <c r="AD1" s="97" t="s">
        <v>230</v>
      </c>
    </row>
    <row r="2" spans="1:30" s="197" customFormat="1" ht="30" customHeight="1">
      <c r="A2" s="229"/>
      <c r="B2" s="1059" t="s">
        <v>22</v>
      </c>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row>
    <row r="3" spans="2:30" ht="12.75">
      <c r="B3" s="123"/>
      <c r="C3" s="123"/>
      <c r="E3" s="221"/>
      <c r="F3" s="221"/>
      <c r="G3" s="221"/>
      <c r="H3" s="221"/>
      <c r="I3" s="221"/>
      <c r="K3" s="255"/>
      <c r="L3" s="255"/>
      <c r="M3" s="255"/>
      <c r="N3" s="255"/>
      <c r="O3" s="255"/>
      <c r="Q3" s="345"/>
      <c r="R3" s="345"/>
      <c r="X3" s="198" t="s">
        <v>248</v>
      </c>
      <c r="Y3" s="198"/>
      <c r="Z3" s="198"/>
      <c r="AA3" s="198"/>
      <c r="AB3" s="198"/>
      <c r="AC3" s="199"/>
      <c r="AD3" s="346"/>
    </row>
    <row r="4" spans="2:30" ht="19.5" customHeight="1">
      <c r="B4" s="98"/>
      <c r="C4" s="99">
        <v>1970</v>
      </c>
      <c r="D4" s="99">
        <v>1980</v>
      </c>
      <c r="E4" s="101">
        <v>1990</v>
      </c>
      <c r="F4" s="101">
        <v>1991</v>
      </c>
      <c r="G4" s="101">
        <v>1992</v>
      </c>
      <c r="H4" s="101">
        <v>1993</v>
      </c>
      <c r="I4" s="101">
        <v>1994</v>
      </c>
      <c r="J4" s="101">
        <v>1995</v>
      </c>
      <c r="K4" s="101">
        <v>1996</v>
      </c>
      <c r="L4" s="101">
        <v>1997</v>
      </c>
      <c r="M4" s="101">
        <v>1998</v>
      </c>
      <c r="N4" s="101">
        <v>1999</v>
      </c>
      <c r="O4" s="101">
        <v>2000</v>
      </c>
      <c r="P4" s="101">
        <v>2001</v>
      </c>
      <c r="Q4" s="101">
        <v>2002</v>
      </c>
      <c r="R4" s="101">
        <v>2003</v>
      </c>
      <c r="S4" s="101">
        <v>2004</v>
      </c>
      <c r="T4" s="101">
        <v>2005</v>
      </c>
      <c r="U4" s="101">
        <v>2006</v>
      </c>
      <c r="V4" s="101">
        <v>2007</v>
      </c>
      <c r="W4" s="101">
        <v>2008</v>
      </c>
      <c r="X4" s="101">
        <v>2009</v>
      </c>
      <c r="Y4" s="101">
        <v>2010</v>
      </c>
      <c r="Z4" s="101">
        <v>2011</v>
      </c>
      <c r="AA4" s="101">
        <v>2012</v>
      </c>
      <c r="AB4" s="101">
        <v>2013</v>
      </c>
      <c r="AC4" s="122" t="s">
        <v>314</v>
      </c>
      <c r="AD4" s="224"/>
    </row>
    <row r="5" spans="2:30" ht="9.75" customHeight="1">
      <c r="B5" s="124"/>
      <c r="C5" s="126"/>
      <c r="D5" s="126"/>
      <c r="E5" s="127"/>
      <c r="F5" s="127"/>
      <c r="G5" s="127"/>
      <c r="H5" s="127"/>
      <c r="I5" s="127"/>
      <c r="J5" s="127"/>
      <c r="K5" s="127"/>
      <c r="L5" s="127"/>
      <c r="M5" s="127"/>
      <c r="N5" s="127"/>
      <c r="O5" s="127"/>
      <c r="P5" s="127"/>
      <c r="Q5" s="127"/>
      <c r="R5" s="127"/>
      <c r="S5" s="127"/>
      <c r="T5" s="127"/>
      <c r="U5" s="127"/>
      <c r="V5" s="127"/>
      <c r="W5" s="127"/>
      <c r="X5" s="127"/>
      <c r="Y5" s="127"/>
      <c r="Z5" s="127"/>
      <c r="AA5" s="127"/>
      <c r="AB5" s="127"/>
      <c r="AC5" s="201" t="s">
        <v>147</v>
      </c>
      <c r="AD5" s="341"/>
    </row>
    <row r="6" spans="2:30" ht="12.75" customHeight="1">
      <c r="B6" s="129" t="s">
        <v>260</v>
      </c>
      <c r="C6" s="231">
        <f>SUM(C9:C36)+55.9</f>
        <v>551.069</v>
      </c>
      <c r="D6" s="231">
        <f>SUM(D9:D36)+66.2</f>
        <v>641.432</v>
      </c>
      <c r="E6" s="166">
        <f>SUM(E9:E36)+59.4</f>
        <v>526.343</v>
      </c>
      <c r="F6" s="166">
        <f>SUM(F9:F36)+45.8</f>
        <v>443.929011</v>
      </c>
      <c r="G6" s="166">
        <f>SUM(G9:G36)+44</f>
        <v>394.464591</v>
      </c>
      <c r="H6" s="166">
        <f>SUM(H9:H36)</f>
        <v>371.69550899999996</v>
      </c>
      <c r="I6" s="166">
        <f aca="true" t="shared" si="0" ref="I6:AB6">SUM(I9:I36)</f>
        <v>380.15225799999996</v>
      </c>
      <c r="J6" s="166">
        <f t="shared" si="0"/>
        <v>388.11806800000005</v>
      </c>
      <c r="K6" s="166">
        <f t="shared" si="0"/>
        <v>393.8630000000001</v>
      </c>
      <c r="L6" s="166">
        <f t="shared" si="0"/>
        <v>411.2519999999999</v>
      </c>
      <c r="M6" s="166">
        <f t="shared" si="0"/>
        <v>394.337525</v>
      </c>
      <c r="N6" s="166">
        <f t="shared" si="0"/>
        <v>385.31001500293985</v>
      </c>
      <c r="O6" s="166">
        <f t="shared" si="0"/>
        <v>405.4637546422241</v>
      </c>
      <c r="P6" s="166">
        <f t="shared" si="0"/>
        <v>388.048302252257</v>
      </c>
      <c r="Q6" s="166">
        <f t="shared" si="0"/>
        <v>385.983192553031</v>
      </c>
      <c r="R6" s="166">
        <f t="shared" si="0"/>
        <v>394.37526875462396</v>
      </c>
      <c r="S6" s="166">
        <f t="shared" si="0"/>
        <v>419.326370260433</v>
      </c>
      <c r="T6" s="166">
        <f t="shared" si="0"/>
        <v>416.0241804501331</v>
      </c>
      <c r="U6" s="166">
        <f t="shared" si="0"/>
        <v>438.164920252945</v>
      </c>
      <c r="V6" s="167">
        <f t="shared" si="0"/>
        <v>452</v>
      </c>
      <c r="W6" s="167">
        <f t="shared" si="0"/>
        <v>442.7629999999999</v>
      </c>
      <c r="X6" s="167">
        <f t="shared" si="0"/>
        <v>363.541</v>
      </c>
      <c r="Y6" s="167">
        <f t="shared" si="0"/>
        <v>393.531</v>
      </c>
      <c r="Z6" s="167">
        <f t="shared" si="0"/>
        <v>422.0969999999999</v>
      </c>
      <c r="AA6" s="166">
        <f t="shared" si="0"/>
        <v>406.671</v>
      </c>
      <c r="AB6" s="166">
        <f t="shared" si="0"/>
        <v>406.5040000000001</v>
      </c>
      <c r="AC6" s="231">
        <f>AB6/AA6*100-100</f>
        <v>-0.041065136191150486</v>
      </c>
      <c r="AD6" s="129" t="s">
        <v>260</v>
      </c>
    </row>
    <row r="7" spans="1:30" ht="12.75" customHeight="1">
      <c r="A7" s="114"/>
      <c r="B7" s="133" t="s">
        <v>89</v>
      </c>
      <c r="C7" s="232">
        <f>C9+C12+C13+SUM(C15:C20)+C24+C27+C28+C30+SUM(C34:C36)</f>
        <v>282.45900000000006</v>
      </c>
      <c r="D7" s="232">
        <f>D9+D12+D13+SUM(D15:D20)+D24+D27+D28+D30+SUM(D34:D36)</f>
        <v>289.822</v>
      </c>
      <c r="E7" s="169">
        <f>E9+E12+E13+SUM(E15:E18)+E24+E27+E28+E30+SUM(E34:E36)+E20</f>
        <v>256.511</v>
      </c>
      <c r="F7" s="169">
        <f>F9+F12+F13+SUM(F15:F18)+F24+F27+F28+F30+SUM(F34:F36)+F20</f>
        <v>235.668011</v>
      </c>
      <c r="G7" s="169">
        <f>G9+G12+G13+SUM(G15:G18)+G24+G27+G28+G30+SUM(G34:G36)+G20</f>
        <v>223.08759099999997</v>
      </c>
      <c r="H7" s="169">
        <f>H9+H12+H13+SUM(H15:H18)+H24+H27+H28+H30+SUM(H34:H36)+H20</f>
        <v>205.43950900000002</v>
      </c>
      <c r="I7" s="169">
        <f aca="true" t="shared" si="1" ref="I7:AB7">I9+I12+I13+SUM(I15:I18)+I24+I27+I28+I30+SUM(I34:I36)+I20</f>
        <v>219.61625800000002</v>
      </c>
      <c r="J7" s="169">
        <f t="shared" si="1"/>
        <v>222.73306799999997</v>
      </c>
      <c r="K7" s="169">
        <f t="shared" si="1"/>
        <v>223.77200000000002</v>
      </c>
      <c r="L7" s="169">
        <f t="shared" si="1"/>
        <v>240.20200000000003</v>
      </c>
      <c r="M7" s="169">
        <f t="shared" si="1"/>
        <v>239.98352500000004</v>
      </c>
      <c r="N7" s="169">
        <f t="shared" si="1"/>
        <v>243.43601500294002</v>
      </c>
      <c r="O7" s="169">
        <f t="shared" si="1"/>
        <v>257.067754642224</v>
      </c>
      <c r="P7" s="169">
        <f t="shared" si="1"/>
        <v>248.427302252257</v>
      </c>
      <c r="Q7" s="169">
        <f t="shared" si="1"/>
        <v>245.78019255303101</v>
      </c>
      <c r="R7" s="169">
        <f t="shared" si="1"/>
        <v>248.47926875462403</v>
      </c>
      <c r="S7" s="169">
        <f t="shared" si="1"/>
        <v>264.833370260433</v>
      </c>
      <c r="T7" s="169">
        <f t="shared" si="1"/>
        <v>261.933180450133</v>
      </c>
      <c r="U7" s="169">
        <f t="shared" si="1"/>
        <v>280.598920252945</v>
      </c>
      <c r="V7" s="170">
        <f t="shared" si="1"/>
        <v>292.45700000000005</v>
      </c>
      <c r="W7" s="170">
        <f t="shared" si="1"/>
        <v>289.077</v>
      </c>
      <c r="X7" s="170">
        <f t="shared" si="1"/>
        <v>236.41699999999997</v>
      </c>
      <c r="Y7" s="170">
        <f t="shared" si="1"/>
        <v>255.416</v>
      </c>
      <c r="Z7" s="170">
        <f t="shared" si="1"/>
        <v>269.988</v>
      </c>
      <c r="AA7" s="169">
        <f t="shared" si="1"/>
        <v>263.331</v>
      </c>
      <c r="AB7" s="169">
        <f t="shared" si="1"/>
        <v>263.77199999999993</v>
      </c>
      <c r="AC7" s="232">
        <f aca="true" t="shared" si="2" ref="AC7:AC44">AB7/AA7*100-100</f>
        <v>0.1674698383403097</v>
      </c>
      <c r="AD7" s="133" t="s">
        <v>89</v>
      </c>
    </row>
    <row r="8" spans="1:30" ht="12.75" customHeight="1">
      <c r="A8" s="114"/>
      <c r="B8" s="134" t="s">
        <v>261</v>
      </c>
      <c r="C8" s="342">
        <f aca="true" t="shared" si="3" ref="C8:AB8">C6-C7</f>
        <v>268.6099999999999</v>
      </c>
      <c r="D8" s="342">
        <f t="shared" si="3"/>
        <v>351.61</v>
      </c>
      <c r="E8" s="172">
        <f t="shared" si="3"/>
        <v>269.83199999999994</v>
      </c>
      <c r="F8" s="172">
        <f t="shared" si="3"/>
        <v>208.261</v>
      </c>
      <c r="G8" s="172">
        <f t="shared" si="3"/>
        <v>171.377</v>
      </c>
      <c r="H8" s="172">
        <f t="shared" si="3"/>
        <v>166.25599999999994</v>
      </c>
      <c r="I8" s="172">
        <f t="shared" si="3"/>
        <v>160.53599999999994</v>
      </c>
      <c r="J8" s="172">
        <f t="shared" si="3"/>
        <v>165.38500000000008</v>
      </c>
      <c r="K8" s="172">
        <f t="shared" si="3"/>
        <v>170.0910000000001</v>
      </c>
      <c r="L8" s="172">
        <f t="shared" si="3"/>
        <v>171.04999999999987</v>
      </c>
      <c r="M8" s="172">
        <f t="shared" si="3"/>
        <v>154.35399999999998</v>
      </c>
      <c r="N8" s="172">
        <f t="shared" si="3"/>
        <v>141.87399999999982</v>
      </c>
      <c r="O8" s="172">
        <f t="shared" si="3"/>
        <v>148.39600000000013</v>
      </c>
      <c r="P8" s="172">
        <f t="shared" si="3"/>
        <v>139.62099999999998</v>
      </c>
      <c r="Q8" s="172">
        <f t="shared" si="3"/>
        <v>140.203</v>
      </c>
      <c r="R8" s="172">
        <f t="shared" si="3"/>
        <v>145.89599999999993</v>
      </c>
      <c r="S8" s="173">
        <f t="shared" si="3"/>
        <v>154.493</v>
      </c>
      <c r="T8" s="173">
        <f t="shared" si="3"/>
        <v>154.09100000000007</v>
      </c>
      <c r="U8" s="172">
        <f t="shared" si="3"/>
        <v>157.56600000000003</v>
      </c>
      <c r="V8" s="173">
        <f t="shared" si="3"/>
        <v>159.54299999999995</v>
      </c>
      <c r="W8" s="173">
        <f t="shared" si="3"/>
        <v>153.68599999999992</v>
      </c>
      <c r="X8" s="173">
        <f t="shared" si="3"/>
        <v>127.12400000000002</v>
      </c>
      <c r="Y8" s="173">
        <f t="shared" si="3"/>
        <v>138.115</v>
      </c>
      <c r="Z8" s="173">
        <f t="shared" si="3"/>
        <v>152.10899999999992</v>
      </c>
      <c r="AA8" s="173">
        <f t="shared" si="3"/>
        <v>143.33999999999997</v>
      </c>
      <c r="AB8" s="173">
        <f t="shared" si="3"/>
        <v>142.73200000000014</v>
      </c>
      <c r="AC8" s="349">
        <f t="shared" si="2"/>
        <v>-0.424166317845561</v>
      </c>
      <c r="AD8" s="134" t="s">
        <v>261</v>
      </c>
    </row>
    <row r="9" spans="1:30" ht="12.75" customHeight="1">
      <c r="A9" s="114"/>
      <c r="B9" s="102" t="s">
        <v>60</v>
      </c>
      <c r="C9" s="208">
        <v>7.876</v>
      </c>
      <c r="D9" s="208">
        <v>8.037</v>
      </c>
      <c r="E9" s="208">
        <v>8.37</v>
      </c>
      <c r="F9" s="594">
        <v>8.203</v>
      </c>
      <c r="G9" s="594">
        <v>8.361</v>
      </c>
      <c r="H9" s="594">
        <v>7.596</v>
      </c>
      <c r="I9" s="594">
        <v>8.097</v>
      </c>
      <c r="J9" s="179">
        <v>7.304</v>
      </c>
      <c r="K9" s="179">
        <v>7.244</v>
      </c>
      <c r="L9" s="179">
        <v>7.465</v>
      </c>
      <c r="M9" s="179">
        <v>7.6</v>
      </c>
      <c r="N9" s="213">
        <v>7.392</v>
      </c>
      <c r="O9" s="179">
        <v>7.674</v>
      </c>
      <c r="P9" s="179">
        <v>7.081</v>
      </c>
      <c r="Q9" s="179">
        <v>7.297</v>
      </c>
      <c r="R9" s="179">
        <v>7.293</v>
      </c>
      <c r="S9" s="179">
        <v>7.691</v>
      </c>
      <c r="T9" s="179">
        <v>8.13</v>
      </c>
      <c r="U9" s="179">
        <v>8.572</v>
      </c>
      <c r="V9" s="179">
        <v>9.258</v>
      </c>
      <c r="W9" s="179">
        <v>8.927</v>
      </c>
      <c r="X9" s="179">
        <v>6.374</v>
      </c>
      <c r="Y9" s="594">
        <v>7.476</v>
      </c>
      <c r="Z9" s="594">
        <v>7.593</v>
      </c>
      <c r="AA9" s="599">
        <f>(1700+1700+1600+1500)/1000+0.78</f>
        <v>7.28</v>
      </c>
      <c r="AB9" s="600">
        <v>7.28</v>
      </c>
      <c r="AC9" s="207">
        <f t="shared" si="2"/>
        <v>0</v>
      </c>
      <c r="AD9" s="102" t="s">
        <v>60</v>
      </c>
    </row>
    <row r="10" spans="1:30" ht="12.75" customHeight="1">
      <c r="A10" s="114"/>
      <c r="B10" s="133" t="s">
        <v>101</v>
      </c>
      <c r="C10" s="331">
        <v>13.7</v>
      </c>
      <c r="D10" s="331">
        <v>17.68</v>
      </c>
      <c r="E10" s="331">
        <v>14.13</v>
      </c>
      <c r="F10" s="176">
        <v>8.7</v>
      </c>
      <c r="G10" s="176">
        <v>7.76</v>
      </c>
      <c r="H10" s="176">
        <v>7.7</v>
      </c>
      <c r="I10" s="176">
        <v>7.77</v>
      </c>
      <c r="J10" s="176">
        <v>8.6</v>
      </c>
      <c r="K10" s="176">
        <v>7.517</v>
      </c>
      <c r="L10" s="176">
        <v>7.405</v>
      </c>
      <c r="M10" s="176">
        <v>6.152</v>
      </c>
      <c r="N10" s="176">
        <v>5.2</v>
      </c>
      <c r="O10" s="176">
        <v>5.538</v>
      </c>
      <c r="P10" s="176">
        <v>4.9</v>
      </c>
      <c r="Q10" s="176">
        <v>4.627</v>
      </c>
      <c r="R10" s="176">
        <v>5.274</v>
      </c>
      <c r="S10" s="176">
        <v>5.211</v>
      </c>
      <c r="T10" s="176">
        <v>5.163</v>
      </c>
      <c r="U10" s="176">
        <v>5.396</v>
      </c>
      <c r="V10" s="176">
        <v>5.241</v>
      </c>
      <c r="W10" s="176">
        <v>4.693</v>
      </c>
      <c r="X10" s="176">
        <v>3.145</v>
      </c>
      <c r="Y10" s="176">
        <v>3.064</v>
      </c>
      <c r="Z10" s="176">
        <v>3.291</v>
      </c>
      <c r="AA10" s="176">
        <v>2.907</v>
      </c>
      <c r="AB10" s="242">
        <v>3.246</v>
      </c>
      <c r="AC10" s="210">
        <f t="shared" si="2"/>
        <v>11.661506707946344</v>
      </c>
      <c r="AD10" s="133" t="s">
        <v>101</v>
      </c>
    </row>
    <row r="11" spans="1:30" ht="12.75" customHeight="1">
      <c r="A11" s="114"/>
      <c r="B11" s="102" t="s">
        <v>61</v>
      </c>
      <c r="C11" s="212"/>
      <c r="D11" s="212"/>
      <c r="E11" s="212"/>
      <c r="F11" s="177"/>
      <c r="G11" s="177"/>
      <c r="H11" s="177">
        <v>25.2</v>
      </c>
      <c r="I11" s="177">
        <v>22.8</v>
      </c>
      <c r="J11" s="177">
        <v>22.623</v>
      </c>
      <c r="K11" s="177">
        <v>22.339</v>
      </c>
      <c r="L11" s="177">
        <v>21.01</v>
      </c>
      <c r="M11" s="177">
        <v>18.709</v>
      </c>
      <c r="N11" s="177">
        <v>16.713</v>
      </c>
      <c r="O11" s="177">
        <v>17.496</v>
      </c>
      <c r="P11" s="177">
        <v>16.9</v>
      </c>
      <c r="Q11" s="177">
        <v>15.81</v>
      </c>
      <c r="R11" s="177">
        <v>15.862</v>
      </c>
      <c r="S11" s="177">
        <v>15.092</v>
      </c>
      <c r="T11" s="177">
        <v>14.866</v>
      </c>
      <c r="U11" s="177">
        <v>15.779</v>
      </c>
      <c r="V11" s="177">
        <v>16.304</v>
      </c>
      <c r="W11" s="177">
        <v>15.437</v>
      </c>
      <c r="X11" s="177">
        <v>12.791</v>
      </c>
      <c r="Y11" s="177">
        <v>13.77</v>
      </c>
      <c r="Z11" s="177">
        <v>14.316</v>
      </c>
      <c r="AA11" s="177">
        <v>14.267</v>
      </c>
      <c r="AB11" s="241">
        <v>13.965</v>
      </c>
      <c r="AC11" s="216">
        <f t="shared" si="2"/>
        <v>-2.1167729725940916</v>
      </c>
      <c r="AD11" s="102" t="s">
        <v>61</v>
      </c>
    </row>
    <row r="12" spans="1:30" ht="12.75" customHeight="1">
      <c r="A12" s="114"/>
      <c r="B12" s="133" t="s">
        <v>14</v>
      </c>
      <c r="C12" s="331">
        <v>1.701</v>
      </c>
      <c r="D12" s="331">
        <v>1.619</v>
      </c>
      <c r="E12" s="331">
        <v>1.73</v>
      </c>
      <c r="F12" s="176">
        <v>1.858</v>
      </c>
      <c r="G12" s="176">
        <v>1.87</v>
      </c>
      <c r="H12" s="176">
        <v>1.796</v>
      </c>
      <c r="I12" s="176">
        <v>2.008</v>
      </c>
      <c r="J12" s="176">
        <v>1.985</v>
      </c>
      <c r="K12" s="176">
        <v>1.757</v>
      </c>
      <c r="L12" s="176">
        <v>1.983</v>
      </c>
      <c r="M12" s="176">
        <v>2.058</v>
      </c>
      <c r="N12" s="176">
        <v>1.938</v>
      </c>
      <c r="O12" s="176">
        <v>2.025</v>
      </c>
      <c r="P12" s="176">
        <v>2.091</v>
      </c>
      <c r="Q12" s="176">
        <v>1.877</v>
      </c>
      <c r="R12" s="176">
        <v>1.985</v>
      </c>
      <c r="S12" s="176">
        <v>2.321</v>
      </c>
      <c r="T12" s="176">
        <v>1.976</v>
      </c>
      <c r="U12" s="176">
        <v>1.892</v>
      </c>
      <c r="V12" s="176">
        <v>1.779</v>
      </c>
      <c r="W12" s="176">
        <v>1.866</v>
      </c>
      <c r="X12" s="176">
        <v>1.7</v>
      </c>
      <c r="Y12" s="176">
        <v>2.239</v>
      </c>
      <c r="Z12" s="176">
        <v>2.615</v>
      </c>
      <c r="AA12" s="176">
        <v>2.278</v>
      </c>
      <c r="AB12" s="242">
        <v>2.448</v>
      </c>
      <c r="AC12" s="210">
        <f t="shared" si="2"/>
        <v>7.462686567164184</v>
      </c>
      <c r="AD12" s="133" t="s">
        <v>14</v>
      </c>
    </row>
    <row r="13" spans="1:30" ht="12.75" customHeight="1">
      <c r="A13" s="114"/>
      <c r="B13" s="102" t="s">
        <v>63</v>
      </c>
      <c r="C13" s="212">
        <v>113</v>
      </c>
      <c r="D13" s="212">
        <v>121.3</v>
      </c>
      <c r="E13" s="212">
        <v>101.7</v>
      </c>
      <c r="F13" s="177">
        <v>82.2</v>
      </c>
      <c r="G13" s="177">
        <v>72.8</v>
      </c>
      <c r="H13" s="177">
        <v>65.6</v>
      </c>
      <c r="I13" s="177">
        <v>70.7</v>
      </c>
      <c r="J13" s="177">
        <v>70.5</v>
      </c>
      <c r="K13" s="177">
        <v>70</v>
      </c>
      <c r="L13" s="177">
        <v>73.9</v>
      </c>
      <c r="M13" s="177">
        <v>74.2</v>
      </c>
      <c r="N13" s="177">
        <v>76.822</v>
      </c>
      <c r="O13" s="177">
        <v>82.675</v>
      </c>
      <c r="P13" s="177">
        <v>81.042</v>
      </c>
      <c r="Q13" s="177">
        <v>81.059</v>
      </c>
      <c r="R13" s="177">
        <v>85.128</v>
      </c>
      <c r="S13" s="177">
        <v>91.921</v>
      </c>
      <c r="T13" s="177">
        <v>95.42</v>
      </c>
      <c r="U13" s="177">
        <v>107.007</v>
      </c>
      <c r="V13" s="177">
        <v>114.615</v>
      </c>
      <c r="W13" s="177">
        <v>115.652</v>
      </c>
      <c r="X13" s="177">
        <v>95.834</v>
      </c>
      <c r="Y13" s="177">
        <v>107.317</v>
      </c>
      <c r="Z13" s="177">
        <v>113.317</v>
      </c>
      <c r="AA13" s="177">
        <v>110.065</v>
      </c>
      <c r="AB13" s="241">
        <v>112.613</v>
      </c>
      <c r="AC13" s="216">
        <f t="shared" si="2"/>
        <v>2.314995684368327</v>
      </c>
      <c r="AD13" s="102" t="s">
        <v>63</v>
      </c>
    </row>
    <row r="14" spans="1:41" ht="12.75" customHeight="1">
      <c r="A14" s="114"/>
      <c r="B14" s="133" t="s">
        <v>64</v>
      </c>
      <c r="C14" s="331">
        <v>5.7</v>
      </c>
      <c r="D14" s="331">
        <v>6.5</v>
      </c>
      <c r="E14" s="331">
        <v>6.98</v>
      </c>
      <c r="F14" s="176">
        <v>6.5</v>
      </c>
      <c r="G14" s="176">
        <v>3.4</v>
      </c>
      <c r="H14" s="176">
        <v>4.2</v>
      </c>
      <c r="I14" s="176">
        <v>3.6</v>
      </c>
      <c r="J14" s="176">
        <v>3.845</v>
      </c>
      <c r="K14" s="176">
        <v>4.198</v>
      </c>
      <c r="L14" s="176">
        <v>5.102</v>
      </c>
      <c r="M14" s="176">
        <v>6.079</v>
      </c>
      <c r="N14" s="176">
        <v>7.295</v>
      </c>
      <c r="O14" s="176">
        <v>8.102</v>
      </c>
      <c r="P14" s="176">
        <v>8.557</v>
      </c>
      <c r="Q14" s="215">
        <v>9.697</v>
      </c>
      <c r="R14" s="176">
        <v>9.67</v>
      </c>
      <c r="S14" s="176">
        <v>10.488</v>
      </c>
      <c r="T14" s="176">
        <v>10.639</v>
      </c>
      <c r="U14" s="176">
        <v>10.418</v>
      </c>
      <c r="V14" s="176">
        <v>8.43</v>
      </c>
      <c r="W14" s="176">
        <v>5.943</v>
      </c>
      <c r="X14" s="176">
        <v>5.947</v>
      </c>
      <c r="Y14" s="176">
        <v>6.638</v>
      </c>
      <c r="Z14" s="176">
        <v>6.271</v>
      </c>
      <c r="AA14" s="176">
        <v>5.129</v>
      </c>
      <c r="AB14" s="242">
        <v>4.722</v>
      </c>
      <c r="AC14" s="210">
        <f t="shared" si="2"/>
        <v>-7.935270033144846</v>
      </c>
      <c r="AD14" s="133" t="s">
        <v>64</v>
      </c>
      <c r="AF14" s="93"/>
      <c r="AG14" s="93"/>
      <c r="AH14" s="93"/>
      <c r="AI14" s="93"/>
      <c r="AJ14" s="93"/>
      <c r="AK14" s="93"/>
      <c r="AL14" s="93"/>
      <c r="AM14" s="93"/>
      <c r="AN14" s="93"/>
      <c r="AO14" s="93"/>
    </row>
    <row r="15" spans="1:41" ht="12.75" customHeight="1">
      <c r="A15" s="114"/>
      <c r="B15" s="102" t="s">
        <v>68</v>
      </c>
      <c r="C15" s="208">
        <v>0.545</v>
      </c>
      <c r="D15" s="208">
        <v>0.637</v>
      </c>
      <c r="E15" s="208">
        <v>0.589</v>
      </c>
      <c r="F15" s="179">
        <v>0.603</v>
      </c>
      <c r="G15" s="179">
        <v>0.633</v>
      </c>
      <c r="H15" s="179">
        <v>0.575</v>
      </c>
      <c r="I15" s="179">
        <v>0.569</v>
      </c>
      <c r="J15" s="179">
        <v>0.602</v>
      </c>
      <c r="K15" s="179">
        <v>0.57</v>
      </c>
      <c r="L15" s="179">
        <v>0.522</v>
      </c>
      <c r="M15" s="179">
        <v>0.466</v>
      </c>
      <c r="N15" s="179">
        <v>0.526</v>
      </c>
      <c r="O15" s="179">
        <v>0.491</v>
      </c>
      <c r="P15" s="179">
        <v>0.516</v>
      </c>
      <c r="Q15" s="179">
        <v>0.426</v>
      </c>
      <c r="R15" s="179">
        <v>0.398</v>
      </c>
      <c r="S15" s="179">
        <v>0.399</v>
      </c>
      <c r="T15" s="179">
        <v>0.303</v>
      </c>
      <c r="U15" s="179">
        <v>0.205</v>
      </c>
      <c r="V15" s="179">
        <v>0.129</v>
      </c>
      <c r="W15" s="179">
        <v>0.103</v>
      </c>
      <c r="X15" s="179">
        <v>0.079</v>
      </c>
      <c r="Y15" s="179">
        <v>0.092</v>
      </c>
      <c r="Z15" s="179">
        <v>0.105</v>
      </c>
      <c r="AA15" s="179">
        <v>0.091</v>
      </c>
      <c r="AB15" s="181">
        <v>0.099</v>
      </c>
      <c r="AC15" s="216">
        <f t="shared" si="2"/>
        <v>8.791208791208803</v>
      </c>
      <c r="AD15" s="102" t="s">
        <v>68</v>
      </c>
      <c r="AF15" s="93"/>
      <c r="AG15" s="93"/>
      <c r="AH15" s="93"/>
      <c r="AI15" s="93"/>
      <c r="AJ15" s="93"/>
      <c r="AK15" s="93"/>
      <c r="AL15" s="93"/>
      <c r="AM15" s="93"/>
      <c r="AN15" s="93"/>
      <c r="AO15" s="93"/>
    </row>
    <row r="16" spans="1:41" ht="12.75" customHeight="1">
      <c r="A16" s="114"/>
      <c r="B16" s="133" t="s">
        <v>15</v>
      </c>
      <c r="C16" s="450">
        <v>0.688</v>
      </c>
      <c r="D16" s="450">
        <v>0.814</v>
      </c>
      <c r="E16" s="450">
        <v>0.609</v>
      </c>
      <c r="F16" s="175">
        <v>0.561</v>
      </c>
      <c r="G16" s="175">
        <v>0.527</v>
      </c>
      <c r="H16" s="175">
        <v>0.503</v>
      </c>
      <c r="I16" s="175">
        <v>0.31</v>
      </c>
      <c r="J16" s="175">
        <v>0.292</v>
      </c>
      <c r="K16" s="175">
        <v>0.337</v>
      </c>
      <c r="L16" s="175">
        <v>0.317</v>
      </c>
      <c r="M16" s="175">
        <v>0.326</v>
      </c>
      <c r="N16" s="175">
        <v>0.326</v>
      </c>
      <c r="O16" s="175">
        <v>0.427</v>
      </c>
      <c r="P16" s="175">
        <v>0.38</v>
      </c>
      <c r="Q16" s="175">
        <v>0.327</v>
      </c>
      <c r="R16" s="176">
        <v>0.456</v>
      </c>
      <c r="S16" s="175">
        <v>0.592</v>
      </c>
      <c r="T16" s="175">
        <v>0.613</v>
      </c>
      <c r="U16" s="175">
        <v>0.662</v>
      </c>
      <c r="V16" s="176">
        <v>0.835</v>
      </c>
      <c r="W16" s="176">
        <v>0.786</v>
      </c>
      <c r="X16" s="176">
        <v>0.552</v>
      </c>
      <c r="Y16" s="176">
        <v>0.614</v>
      </c>
      <c r="Z16" s="176">
        <v>0.352</v>
      </c>
      <c r="AA16" s="176">
        <v>0.283</v>
      </c>
      <c r="AB16" s="242">
        <v>0.237</v>
      </c>
      <c r="AC16" s="210">
        <f t="shared" si="2"/>
        <v>-16.25441696113073</v>
      </c>
      <c r="AD16" s="133" t="s">
        <v>15</v>
      </c>
      <c r="AF16" s="93"/>
      <c r="AG16" s="93"/>
      <c r="AH16" s="93"/>
      <c r="AI16" s="93"/>
      <c r="AJ16" s="93"/>
      <c r="AK16" s="93"/>
      <c r="AL16" s="93"/>
      <c r="AM16" s="93"/>
      <c r="AN16" s="93"/>
      <c r="AO16" s="93"/>
    </row>
    <row r="17" spans="1:41" ht="12.75" customHeight="1">
      <c r="A17" s="114"/>
      <c r="B17" s="102" t="s">
        <v>66</v>
      </c>
      <c r="C17" s="208">
        <v>9.741</v>
      </c>
      <c r="D17" s="208">
        <v>11.281</v>
      </c>
      <c r="E17" s="208">
        <v>11.153</v>
      </c>
      <c r="F17" s="179">
        <v>10.462</v>
      </c>
      <c r="G17" s="179">
        <v>9.205</v>
      </c>
      <c r="H17" s="179">
        <v>7.836</v>
      </c>
      <c r="I17" s="179">
        <v>9.089</v>
      </c>
      <c r="J17" s="179">
        <v>10.955</v>
      </c>
      <c r="K17" s="179">
        <v>11.125</v>
      </c>
      <c r="L17" s="179">
        <v>12.511</v>
      </c>
      <c r="M17" s="179">
        <v>11.322</v>
      </c>
      <c r="N17" s="179">
        <v>11.487</v>
      </c>
      <c r="O17" s="179">
        <v>11.614</v>
      </c>
      <c r="P17" s="179">
        <v>11.717</v>
      </c>
      <c r="Q17" s="179">
        <v>11.569</v>
      </c>
      <c r="R17" s="179">
        <v>11.743</v>
      </c>
      <c r="S17" s="179">
        <v>12.436</v>
      </c>
      <c r="T17" s="179">
        <v>11.585</v>
      </c>
      <c r="U17" s="179">
        <v>11.541</v>
      </c>
      <c r="V17" s="179">
        <v>11.237</v>
      </c>
      <c r="W17" s="179">
        <v>10.971</v>
      </c>
      <c r="X17" s="179">
        <v>7.806</v>
      </c>
      <c r="Y17" s="179">
        <v>8.913</v>
      </c>
      <c r="Z17" s="179">
        <v>9.451</v>
      </c>
      <c r="AA17" s="179">
        <v>9.458</v>
      </c>
      <c r="AB17" s="181">
        <v>9.338</v>
      </c>
      <c r="AC17" s="216">
        <f t="shared" si="2"/>
        <v>-1.268767181222259</v>
      </c>
      <c r="AD17" s="102" t="s">
        <v>66</v>
      </c>
      <c r="AF17" s="93"/>
      <c r="AG17" s="93"/>
      <c r="AH17" s="93"/>
      <c r="AI17" s="93"/>
      <c r="AJ17" s="93"/>
      <c r="AK17" s="93"/>
      <c r="AL17" s="93"/>
      <c r="AM17" s="93"/>
      <c r="AN17" s="93"/>
      <c r="AO17" s="93"/>
    </row>
    <row r="18" spans="1:41" ht="12.75" customHeight="1">
      <c r="A18" s="114"/>
      <c r="B18" s="133" t="s">
        <v>67</v>
      </c>
      <c r="C18" s="331">
        <v>67.586</v>
      </c>
      <c r="D18" s="331">
        <v>68.815</v>
      </c>
      <c r="E18" s="331">
        <v>52.24</v>
      </c>
      <c r="F18" s="176">
        <v>52.430011</v>
      </c>
      <c r="G18" s="176">
        <v>51.180591</v>
      </c>
      <c r="H18" s="176">
        <v>45.582509</v>
      </c>
      <c r="I18" s="176">
        <v>48.871258</v>
      </c>
      <c r="J18" s="176">
        <v>48.266068</v>
      </c>
      <c r="K18" s="176">
        <v>50.113</v>
      </c>
      <c r="L18" s="176">
        <v>54.246</v>
      </c>
      <c r="M18" s="176">
        <v>54.09952500000001</v>
      </c>
      <c r="N18" s="176">
        <v>54.53801500294</v>
      </c>
      <c r="O18" s="176">
        <v>57.72575464222399</v>
      </c>
      <c r="P18" s="176">
        <v>51.718302252257004</v>
      </c>
      <c r="Q18" s="176">
        <v>51.288192553031</v>
      </c>
      <c r="R18" s="176">
        <v>48.057268754624005</v>
      </c>
      <c r="S18" s="176">
        <v>46.348370260433</v>
      </c>
      <c r="T18" s="176">
        <v>40.701180450133</v>
      </c>
      <c r="U18" s="176">
        <v>41.17892025294501</v>
      </c>
      <c r="V18" s="176">
        <v>42.623</v>
      </c>
      <c r="W18" s="176">
        <v>40.436</v>
      </c>
      <c r="X18" s="176">
        <v>32.13</v>
      </c>
      <c r="Y18" s="176">
        <v>29.965</v>
      </c>
      <c r="Z18" s="176">
        <v>34.202</v>
      </c>
      <c r="AA18" s="176">
        <v>32.552</v>
      </c>
      <c r="AB18" s="242">
        <v>32.01</v>
      </c>
      <c r="AC18" s="210">
        <f t="shared" si="2"/>
        <v>-1.6650282624723616</v>
      </c>
      <c r="AD18" s="133" t="s">
        <v>67</v>
      </c>
      <c r="AF18" s="93"/>
      <c r="AG18" s="93"/>
      <c r="AH18" s="93"/>
      <c r="AI18" s="93"/>
      <c r="AJ18" s="93"/>
      <c r="AK18" s="93"/>
      <c r="AL18" s="93"/>
      <c r="AM18" s="93"/>
      <c r="AN18" s="93"/>
      <c r="AO18" s="93"/>
    </row>
    <row r="19" spans="1:41" ht="12.75" customHeight="1">
      <c r="A19" s="114"/>
      <c r="B19" s="102" t="s">
        <v>148</v>
      </c>
      <c r="C19" s="212"/>
      <c r="D19" s="212"/>
      <c r="E19" s="212" t="s">
        <v>99</v>
      </c>
      <c r="F19" s="177"/>
      <c r="G19" s="177"/>
      <c r="H19" s="177"/>
      <c r="I19" s="177"/>
      <c r="J19" s="177">
        <v>1.974</v>
      </c>
      <c r="K19" s="177">
        <v>1.717</v>
      </c>
      <c r="L19" s="177">
        <v>1.715</v>
      </c>
      <c r="M19" s="178">
        <v>1.831</v>
      </c>
      <c r="N19" s="177">
        <v>1.685</v>
      </c>
      <c r="O19" s="177">
        <v>1.788</v>
      </c>
      <c r="P19" s="177">
        <v>2.074</v>
      </c>
      <c r="Q19" s="177">
        <v>2.206</v>
      </c>
      <c r="R19" s="177">
        <v>2.487</v>
      </c>
      <c r="S19" s="177">
        <v>2.493</v>
      </c>
      <c r="T19" s="177">
        <v>2.835</v>
      </c>
      <c r="U19" s="177">
        <v>3.305</v>
      </c>
      <c r="V19" s="177">
        <v>3.574</v>
      </c>
      <c r="W19" s="177">
        <v>3.312</v>
      </c>
      <c r="X19" s="177">
        <v>2.641</v>
      </c>
      <c r="Y19" s="177">
        <v>2.618</v>
      </c>
      <c r="Z19" s="177">
        <v>2.438</v>
      </c>
      <c r="AA19" s="177">
        <v>2.332</v>
      </c>
      <c r="AB19" s="241">
        <v>2.086</v>
      </c>
      <c r="AC19" s="216">
        <f t="shared" si="2"/>
        <v>-10.548885077186966</v>
      </c>
      <c r="AD19" s="102" t="s">
        <v>148</v>
      </c>
      <c r="AF19" s="93"/>
      <c r="AG19" s="93"/>
      <c r="AH19" s="93"/>
      <c r="AI19" s="93"/>
      <c r="AJ19" s="93"/>
      <c r="AK19" s="93"/>
      <c r="AL19" s="93"/>
      <c r="AM19" s="93"/>
      <c r="AN19" s="93"/>
      <c r="AO19" s="93"/>
    </row>
    <row r="20" spans="1:41" ht="12.75" customHeight="1">
      <c r="A20" s="114"/>
      <c r="B20" s="133" t="s">
        <v>69</v>
      </c>
      <c r="C20" s="450">
        <v>18.069</v>
      </c>
      <c r="D20" s="450">
        <v>18.384</v>
      </c>
      <c r="E20" s="450">
        <v>19.361</v>
      </c>
      <c r="F20" s="175">
        <v>19.963</v>
      </c>
      <c r="G20" s="175">
        <v>19.267</v>
      </c>
      <c r="H20" s="175">
        <v>18.12</v>
      </c>
      <c r="I20" s="175">
        <v>20.425</v>
      </c>
      <c r="J20" s="175">
        <v>21.69</v>
      </c>
      <c r="K20" s="175">
        <v>21.034</v>
      </c>
      <c r="L20" s="175">
        <v>22.903</v>
      </c>
      <c r="M20" s="175">
        <v>22.454</v>
      </c>
      <c r="N20" s="175">
        <v>21.549</v>
      </c>
      <c r="O20" s="175">
        <v>22.817</v>
      </c>
      <c r="P20" s="175">
        <v>21.762</v>
      </c>
      <c r="Q20" s="176">
        <v>20.679</v>
      </c>
      <c r="R20" s="176">
        <v>20.299</v>
      </c>
      <c r="S20" s="176">
        <v>22.183</v>
      </c>
      <c r="T20" s="176">
        <v>22.761</v>
      </c>
      <c r="U20" s="176">
        <v>24.151</v>
      </c>
      <c r="V20" s="176">
        <v>25.285</v>
      </c>
      <c r="W20" s="176">
        <v>23.831</v>
      </c>
      <c r="X20" s="176">
        <v>17.791</v>
      </c>
      <c r="Y20" s="176">
        <v>18.616</v>
      </c>
      <c r="Z20" s="176">
        <v>19.787</v>
      </c>
      <c r="AA20" s="176">
        <v>20.244</v>
      </c>
      <c r="AB20" s="242">
        <v>19.037</v>
      </c>
      <c r="AC20" s="210">
        <f t="shared" si="2"/>
        <v>-5.962260422841339</v>
      </c>
      <c r="AD20" s="133" t="s">
        <v>69</v>
      </c>
      <c r="AF20" s="93"/>
      <c r="AG20" s="93"/>
      <c r="AH20" s="93"/>
      <c r="AI20" s="93"/>
      <c r="AJ20" s="93"/>
      <c r="AK20" s="93"/>
      <c r="AL20" s="93"/>
      <c r="AM20" s="93"/>
      <c r="AN20" s="93"/>
      <c r="AO20" s="93"/>
    </row>
    <row r="21" spans="1:41" ht="12.75" customHeight="1">
      <c r="A21" s="114"/>
      <c r="B21" s="102" t="s">
        <v>71</v>
      </c>
      <c r="C21" s="212" t="s">
        <v>146</v>
      </c>
      <c r="D21" s="212" t="s">
        <v>146</v>
      </c>
      <c r="E21" s="212" t="s">
        <v>146</v>
      </c>
      <c r="F21" s="177" t="s">
        <v>146</v>
      </c>
      <c r="G21" s="177" t="s">
        <v>146</v>
      </c>
      <c r="H21" s="177" t="s">
        <v>146</v>
      </c>
      <c r="I21" s="177" t="s">
        <v>146</v>
      </c>
      <c r="J21" s="177" t="s">
        <v>146</v>
      </c>
      <c r="K21" s="177" t="s">
        <v>146</v>
      </c>
      <c r="L21" s="177" t="s">
        <v>146</v>
      </c>
      <c r="M21" s="177" t="s">
        <v>146</v>
      </c>
      <c r="N21" s="177" t="s">
        <v>146</v>
      </c>
      <c r="O21" s="177" t="s">
        <v>146</v>
      </c>
      <c r="P21" s="177" t="s">
        <v>146</v>
      </c>
      <c r="Q21" s="177" t="s">
        <v>146</v>
      </c>
      <c r="R21" s="177" t="s">
        <v>146</v>
      </c>
      <c r="S21" s="177" t="s">
        <v>146</v>
      </c>
      <c r="T21" s="177" t="s">
        <v>146</v>
      </c>
      <c r="U21" s="177" t="s">
        <v>146</v>
      </c>
      <c r="V21" s="177" t="s">
        <v>146</v>
      </c>
      <c r="W21" s="177" t="s">
        <v>146</v>
      </c>
      <c r="X21" s="177" t="s">
        <v>146</v>
      </c>
      <c r="Y21" s="177" t="s">
        <v>146</v>
      </c>
      <c r="Z21" s="177" t="s">
        <v>146</v>
      </c>
      <c r="AA21" s="177" t="s">
        <v>146</v>
      </c>
      <c r="AB21" s="241" t="s">
        <v>146</v>
      </c>
      <c r="AC21" s="216" t="s">
        <v>146</v>
      </c>
      <c r="AD21" s="102" t="s">
        <v>71</v>
      </c>
      <c r="AF21" s="93"/>
      <c r="AG21" s="93"/>
      <c r="AH21" s="93"/>
      <c r="AI21" s="93"/>
      <c r="AJ21" s="93"/>
      <c r="AK21" s="93"/>
      <c r="AL21" s="93"/>
      <c r="AM21" s="93"/>
      <c r="AN21" s="93"/>
      <c r="AO21" s="93"/>
    </row>
    <row r="22" spans="1:41" ht="12.75" customHeight="1">
      <c r="A22" s="114"/>
      <c r="B22" s="133" t="s">
        <v>72</v>
      </c>
      <c r="C22" s="331">
        <v>15.52</v>
      </c>
      <c r="D22" s="331">
        <v>17.59</v>
      </c>
      <c r="E22" s="331">
        <v>18.54</v>
      </c>
      <c r="F22" s="176">
        <v>16.7</v>
      </c>
      <c r="G22" s="176">
        <v>10.12</v>
      </c>
      <c r="H22" s="176">
        <v>9.85</v>
      </c>
      <c r="I22" s="176">
        <v>9.52</v>
      </c>
      <c r="J22" s="176">
        <v>9.76</v>
      </c>
      <c r="K22" s="176">
        <v>12.413</v>
      </c>
      <c r="L22" s="176">
        <v>13.97</v>
      </c>
      <c r="M22" s="176">
        <v>12.996</v>
      </c>
      <c r="N22" s="176">
        <v>12.21</v>
      </c>
      <c r="O22" s="176">
        <v>13.31</v>
      </c>
      <c r="P22" s="176">
        <v>14.18</v>
      </c>
      <c r="Q22" s="176">
        <v>15.02</v>
      </c>
      <c r="R22" s="176">
        <v>17.955</v>
      </c>
      <c r="S22" s="176">
        <v>18.618</v>
      </c>
      <c r="T22" s="176">
        <v>19.779</v>
      </c>
      <c r="U22" s="176">
        <v>16.831</v>
      </c>
      <c r="V22" s="176">
        <v>18.313</v>
      </c>
      <c r="W22" s="176">
        <v>19.581</v>
      </c>
      <c r="X22" s="176">
        <v>18.725</v>
      </c>
      <c r="Y22" s="176">
        <v>17.179</v>
      </c>
      <c r="Z22" s="176">
        <v>21.41</v>
      </c>
      <c r="AA22" s="176">
        <v>21.867</v>
      </c>
      <c r="AB22" s="242">
        <v>19.532</v>
      </c>
      <c r="AC22" s="210">
        <f t="shared" si="2"/>
        <v>-10.678190881236574</v>
      </c>
      <c r="AD22" s="133" t="s">
        <v>72</v>
      </c>
      <c r="AF22" s="93"/>
      <c r="AG22" s="93"/>
      <c r="AH22" s="93"/>
      <c r="AI22" s="93"/>
      <c r="AJ22" s="93"/>
      <c r="AK22" s="93"/>
      <c r="AL22" s="93"/>
      <c r="AM22" s="93"/>
      <c r="AN22" s="93"/>
      <c r="AO22" s="93"/>
    </row>
    <row r="23" spans="1:41" ht="12.75" customHeight="1">
      <c r="A23" s="114"/>
      <c r="B23" s="102" t="s">
        <v>73</v>
      </c>
      <c r="C23" s="212">
        <v>13.57</v>
      </c>
      <c r="D23" s="212">
        <v>18.24</v>
      </c>
      <c r="E23" s="212">
        <v>19.26</v>
      </c>
      <c r="F23" s="177">
        <v>17.7</v>
      </c>
      <c r="G23" s="177">
        <v>11.34</v>
      </c>
      <c r="H23" s="177">
        <v>9.9</v>
      </c>
      <c r="I23" s="177">
        <v>8</v>
      </c>
      <c r="J23" s="177">
        <v>7.2</v>
      </c>
      <c r="K23" s="177">
        <v>8.103</v>
      </c>
      <c r="L23" s="177">
        <v>8.622</v>
      </c>
      <c r="M23" s="177">
        <v>8.265</v>
      </c>
      <c r="N23" s="177">
        <v>7.849</v>
      </c>
      <c r="O23" s="177">
        <v>8.918</v>
      </c>
      <c r="P23" s="177">
        <v>7.741</v>
      </c>
      <c r="Q23" s="177">
        <v>9.767</v>
      </c>
      <c r="R23" s="177">
        <v>11.457</v>
      </c>
      <c r="S23" s="177">
        <v>11.637</v>
      </c>
      <c r="T23" s="177">
        <v>12.457</v>
      </c>
      <c r="U23" s="177">
        <v>12.896</v>
      </c>
      <c r="V23" s="177">
        <v>14.373</v>
      </c>
      <c r="W23" s="177">
        <v>14.748</v>
      </c>
      <c r="X23" s="177">
        <v>11.888</v>
      </c>
      <c r="Y23" s="177">
        <v>13.431</v>
      </c>
      <c r="Z23" s="177">
        <v>15.088</v>
      </c>
      <c r="AA23" s="177">
        <v>14.172</v>
      </c>
      <c r="AB23" s="241">
        <v>13.344</v>
      </c>
      <c r="AC23" s="216">
        <f t="shared" si="2"/>
        <v>-5.842506350550394</v>
      </c>
      <c r="AD23" s="102" t="s">
        <v>73</v>
      </c>
      <c r="AF23" s="93"/>
      <c r="AG23" s="93"/>
      <c r="AH23" s="93"/>
      <c r="AI23" s="93"/>
      <c r="AJ23" s="93"/>
      <c r="AK23" s="93"/>
      <c r="AL23" s="93"/>
      <c r="AM23" s="93"/>
      <c r="AN23" s="93"/>
      <c r="AO23" s="93"/>
    </row>
    <row r="24" spans="1:41" ht="12.75" customHeight="1">
      <c r="A24" s="114"/>
      <c r="B24" s="133" t="s">
        <v>76</v>
      </c>
      <c r="C24" s="331">
        <v>0.763</v>
      </c>
      <c r="D24" s="331">
        <v>0.665</v>
      </c>
      <c r="E24" s="331">
        <v>0.615</v>
      </c>
      <c r="F24" s="176">
        <v>0.622</v>
      </c>
      <c r="G24" s="176">
        <v>0.597</v>
      </c>
      <c r="H24" s="176">
        <v>0.607</v>
      </c>
      <c r="I24" s="176">
        <v>0.645</v>
      </c>
      <c r="J24" s="176">
        <v>0.529</v>
      </c>
      <c r="K24" s="176">
        <v>0.53</v>
      </c>
      <c r="L24" s="176">
        <v>0.566</v>
      </c>
      <c r="M24" s="176">
        <v>0.574</v>
      </c>
      <c r="N24" s="176">
        <v>0.608</v>
      </c>
      <c r="O24" s="176">
        <v>0.632</v>
      </c>
      <c r="P24" s="176">
        <v>0.585</v>
      </c>
      <c r="Q24" s="176">
        <v>0.55</v>
      </c>
      <c r="R24" s="176">
        <v>0.525</v>
      </c>
      <c r="S24" s="176">
        <v>0.559</v>
      </c>
      <c r="T24" s="176">
        <v>0.392</v>
      </c>
      <c r="U24" s="176">
        <v>0.441</v>
      </c>
      <c r="V24" s="176">
        <v>0.574</v>
      </c>
      <c r="W24" s="176">
        <v>0.279</v>
      </c>
      <c r="X24" s="176">
        <v>0.2</v>
      </c>
      <c r="Y24" s="176">
        <v>0.323</v>
      </c>
      <c r="Z24" s="176">
        <v>0.288</v>
      </c>
      <c r="AA24" s="176">
        <f>(59+64+61+57)/1000</f>
        <v>0.241</v>
      </c>
      <c r="AB24" s="451">
        <f>0.223</f>
        <v>0.223</v>
      </c>
      <c r="AC24" s="205">
        <f t="shared" si="2"/>
        <v>-7.468879668049794</v>
      </c>
      <c r="AD24" s="133" t="s">
        <v>76</v>
      </c>
      <c r="AF24" s="93"/>
      <c r="AG24" s="93"/>
      <c r="AH24" s="93"/>
      <c r="AI24" s="93"/>
      <c r="AJ24" s="93"/>
      <c r="AK24" s="93"/>
      <c r="AL24" s="93"/>
      <c r="AM24" s="93"/>
      <c r="AN24" s="93"/>
      <c r="AO24" s="93"/>
    </row>
    <row r="25" spans="1:41" ht="12.75" customHeight="1">
      <c r="A25" s="114"/>
      <c r="B25" s="102" t="s">
        <v>77</v>
      </c>
      <c r="C25" s="212">
        <v>19.82</v>
      </c>
      <c r="D25" s="212">
        <v>24.4</v>
      </c>
      <c r="E25" s="212">
        <v>16.8</v>
      </c>
      <c r="F25" s="177">
        <v>11.9</v>
      </c>
      <c r="G25" s="177">
        <v>10</v>
      </c>
      <c r="H25" s="177">
        <v>7.7</v>
      </c>
      <c r="I25" s="177">
        <v>7.7</v>
      </c>
      <c r="J25" s="177">
        <v>8.4</v>
      </c>
      <c r="K25" s="177">
        <v>7.6</v>
      </c>
      <c r="L25" s="177">
        <v>8.147</v>
      </c>
      <c r="M25" s="177">
        <v>8.15</v>
      </c>
      <c r="N25" s="177">
        <v>8.5</v>
      </c>
      <c r="O25" s="177">
        <v>8.8</v>
      </c>
      <c r="P25" s="177">
        <v>7.7</v>
      </c>
      <c r="Q25" s="177">
        <v>7.8</v>
      </c>
      <c r="R25" s="177">
        <v>7.614</v>
      </c>
      <c r="S25" s="177">
        <v>8.749</v>
      </c>
      <c r="T25" s="177">
        <v>9.09</v>
      </c>
      <c r="U25" s="177">
        <v>10.167</v>
      </c>
      <c r="V25" s="177">
        <v>10.048</v>
      </c>
      <c r="W25" s="177">
        <v>9.874</v>
      </c>
      <c r="X25" s="177">
        <v>7.673</v>
      </c>
      <c r="Y25" s="177">
        <v>8.809</v>
      </c>
      <c r="Z25" s="177">
        <v>9.118</v>
      </c>
      <c r="AA25" s="177">
        <v>9.23</v>
      </c>
      <c r="AB25" s="241">
        <v>9.722</v>
      </c>
      <c r="AC25" s="216">
        <f t="shared" si="2"/>
        <v>5.330444203683626</v>
      </c>
      <c r="AD25" s="102" t="s">
        <v>77</v>
      </c>
      <c r="AF25" s="93"/>
      <c r="AG25" s="93"/>
      <c r="AH25" s="93"/>
      <c r="AI25" s="93"/>
      <c r="AJ25" s="93"/>
      <c r="AK25" s="93"/>
      <c r="AL25" s="93"/>
      <c r="AM25" s="93"/>
      <c r="AN25" s="93"/>
      <c r="AO25" s="93"/>
    </row>
    <row r="26" spans="1:41" ht="12.75" customHeight="1">
      <c r="A26" s="114"/>
      <c r="B26" s="133" t="s">
        <v>78</v>
      </c>
      <c r="C26" s="450" t="s">
        <v>146</v>
      </c>
      <c r="D26" s="450" t="s">
        <v>146</v>
      </c>
      <c r="E26" s="450" t="s">
        <v>146</v>
      </c>
      <c r="F26" s="175" t="s">
        <v>146</v>
      </c>
      <c r="G26" s="175" t="s">
        <v>146</v>
      </c>
      <c r="H26" s="175" t="s">
        <v>146</v>
      </c>
      <c r="I26" s="175" t="s">
        <v>146</v>
      </c>
      <c r="J26" s="175" t="s">
        <v>146</v>
      </c>
      <c r="K26" s="175" t="s">
        <v>146</v>
      </c>
      <c r="L26" s="175" t="s">
        <v>146</v>
      </c>
      <c r="M26" s="175" t="s">
        <v>146</v>
      </c>
      <c r="N26" s="175" t="s">
        <v>146</v>
      </c>
      <c r="O26" s="175" t="s">
        <v>146</v>
      </c>
      <c r="P26" s="175" t="s">
        <v>146</v>
      </c>
      <c r="Q26" s="175" t="s">
        <v>146</v>
      </c>
      <c r="R26" s="175" t="s">
        <v>146</v>
      </c>
      <c r="S26" s="175" t="s">
        <v>146</v>
      </c>
      <c r="T26" s="175" t="s">
        <v>146</v>
      </c>
      <c r="U26" s="175" t="s">
        <v>146</v>
      </c>
      <c r="V26" s="175" t="s">
        <v>146</v>
      </c>
      <c r="W26" s="175" t="s">
        <v>146</v>
      </c>
      <c r="X26" s="175" t="s">
        <v>146</v>
      </c>
      <c r="Y26" s="175" t="s">
        <v>146</v>
      </c>
      <c r="Z26" s="175" t="s">
        <v>146</v>
      </c>
      <c r="AA26" s="175" t="s">
        <v>146</v>
      </c>
      <c r="AB26" s="451" t="s">
        <v>146</v>
      </c>
      <c r="AC26" s="205" t="s">
        <v>146</v>
      </c>
      <c r="AD26" s="133" t="s">
        <v>78</v>
      </c>
      <c r="AF26" s="93"/>
      <c r="AG26" s="93"/>
      <c r="AH26" s="93"/>
      <c r="AI26" s="93"/>
      <c r="AJ26" s="93"/>
      <c r="AK26" s="93"/>
      <c r="AL26" s="93"/>
      <c r="AM26" s="93"/>
      <c r="AN26" s="93"/>
      <c r="AO26" s="93"/>
    </row>
    <row r="27" spans="1:41" ht="12.75" customHeight="1">
      <c r="A27" s="114"/>
      <c r="B27" s="102" t="s">
        <v>16</v>
      </c>
      <c r="C27" s="212">
        <v>3.715</v>
      </c>
      <c r="D27" s="212">
        <v>3.468</v>
      </c>
      <c r="E27" s="212">
        <v>3.07</v>
      </c>
      <c r="F27" s="177">
        <v>3.038</v>
      </c>
      <c r="G27" s="177">
        <v>2.76</v>
      </c>
      <c r="H27" s="177">
        <v>2.68</v>
      </c>
      <c r="I27" s="177">
        <v>2.83</v>
      </c>
      <c r="J27" s="177">
        <v>3.1</v>
      </c>
      <c r="K27" s="177">
        <v>3.123</v>
      </c>
      <c r="L27" s="177">
        <v>3.406</v>
      </c>
      <c r="M27" s="177">
        <v>3.778</v>
      </c>
      <c r="N27" s="177">
        <v>3.988</v>
      </c>
      <c r="O27" s="177">
        <v>4.522</v>
      </c>
      <c r="P27" s="177">
        <v>4.293</v>
      </c>
      <c r="Q27" s="177">
        <v>4.024</v>
      </c>
      <c r="R27" s="177">
        <v>4.705</v>
      </c>
      <c r="S27" s="177">
        <v>5.831</v>
      </c>
      <c r="T27" s="177">
        <v>5.865</v>
      </c>
      <c r="U27" s="177">
        <v>6.289</v>
      </c>
      <c r="V27" s="177">
        <v>7.216</v>
      </c>
      <c r="W27" s="177">
        <v>6.984</v>
      </c>
      <c r="X27" s="177">
        <v>5.578</v>
      </c>
      <c r="Y27" s="177">
        <v>5.925</v>
      </c>
      <c r="Z27" s="177">
        <v>6.378</v>
      </c>
      <c r="AA27" s="177">
        <v>6.157</v>
      </c>
      <c r="AB27" s="241">
        <v>6.078</v>
      </c>
      <c r="AC27" s="216">
        <f t="shared" si="2"/>
        <v>-1.283092415137233</v>
      </c>
      <c r="AD27" s="102" t="s">
        <v>16</v>
      </c>
      <c r="AF27" s="93"/>
      <c r="AG27" s="93"/>
      <c r="AH27" s="93"/>
      <c r="AI27" s="93"/>
      <c r="AJ27" s="93"/>
      <c r="AK27" s="93"/>
      <c r="AL27" s="93"/>
      <c r="AM27" s="93"/>
      <c r="AN27" s="93"/>
      <c r="AO27" s="93"/>
    </row>
    <row r="28" spans="1:41" ht="12.75" customHeight="1">
      <c r="A28" s="114"/>
      <c r="B28" s="133" t="s">
        <v>81</v>
      </c>
      <c r="C28" s="331">
        <v>9.868</v>
      </c>
      <c r="D28" s="331">
        <v>11.002</v>
      </c>
      <c r="E28" s="331">
        <v>12.158</v>
      </c>
      <c r="F28" s="176">
        <v>12.322</v>
      </c>
      <c r="G28" s="176">
        <v>11.57</v>
      </c>
      <c r="H28" s="176">
        <v>11.24</v>
      </c>
      <c r="I28" s="176">
        <v>12.42</v>
      </c>
      <c r="J28" s="176">
        <v>13.2</v>
      </c>
      <c r="K28" s="176">
        <v>13.33</v>
      </c>
      <c r="L28" s="176">
        <v>14.199</v>
      </c>
      <c r="M28" s="176">
        <v>14.71</v>
      </c>
      <c r="N28" s="176">
        <v>15.04</v>
      </c>
      <c r="O28" s="175">
        <v>16.6</v>
      </c>
      <c r="P28" s="175">
        <v>16.893</v>
      </c>
      <c r="Q28" s="175">
        <v>17.13</v>
      </c>
      <c r="R28" s="175">
        <v>16.866</v>
      </c>
      <c r="S28" s="176">
        <v>18.757</v>
      </c>
      <c r="T28" s="176">
        <v>18.957</v>
      </c>
      <c r="U28" s="176">
        <v>20.98</v>
      </c>
      <c r="V28" s="176">
        <v>21.371</v>
      </c>
      <c r="W28" s="176">
        <v>21.915</v>
      </c>
      <c r="X28" s="176">
        <v>17.767</v>
      </c>
      <c r="Y28" s="176">
        <v>19.833</v>
      </c>
      <c r="Z28" s="176">
        <v>20.345</v>
      </c>
      <c r="AA28" s="176">
        <v>19.499</v>
      </c>
      <c r="AB28" s="242">
        <v>19.278</v>
      </c>
      <c r="AC28" s="210">
        <f t="shared" si="2"/>
        <v>-1.1333914559721023</v>
      </c>
      <c r="AD28" s="133" t="s">
        <v>81</v>
      </c>
      <c r="AF28" s="93"/>
      <c r="AG28" s="93"/>
      <c r="AH28" s="93"/>
      <c r="AI28" s="93"/>
      <c r="AJ28" s="93"/>
      <c r="AK28" s="93"/>
      <c r="AL28" s="93"/>
      <c r="AM28" s="93"/>
      <c r="AN28" s="93"/>
      <c r="AO28" s="93"/>
    </row>
    <row r="29" spans="1:41" ht="12.75" customHeight="1">
      <c r="A29" s="114"/>
      <c r="B29" s="102" t="s">
        <v>80</v>
      </c>
      <c r="C29" s="453">
        <v>98</v>
      </c>
      <c r="D29" s="453">
        <v>132.4</v>
      </c>
      <c r="E29" s="453">
        <v>81.6</v>
      </c>
      <c r="F29" s="178">
        <v>65.2</v>
      </c>
      <c r="G29" s="178">
        <v>57.8</v>
      </c>
      <c r="H29" s="178">
        <v>63.2</v>
      </c>
      <c r="I29" s="178">
        <v>64.7</v>
      </c>
      <c r="J29" s="178">
        <v>68.2</v>
      </c>
      <c r="K29" s="178">
        <v>67.4</v>
      </c>
      <c r="L29" s="178">
        <v>67.7</v>
      </c>
      <c r="M29" s="178">
        <v>60.9</v>
      </c>
      <c r="N29" s="178">
        <v>55.1</v>
      </c>
      <c r="O29" s="178">
        <v>54</v>
      </c>
      <c r="P29" s="178">
        <v>47.7</v>
      </c>
      <c r="Q29" s="178">
        <v>46.6</v>
      </c>
      <c r="R29" s="178">
        <v>47.407</v>
      </c>
      <c r="S29" s="177">
        <v>52.332</v>
      </c>
      <c r="T29" s="177">
        <v>49.972</v>
      </c>
      <c r="U29" s="177">
        <v>53.622</v>
      </c>
      <c r="V29" s="177">
        <v>54.253</v>
      </c>
      <c r="W29" s="177">
        <v>52.043</v>
      </c>
      <c r="X29" s="177">
        <v>43.445</v>
      </c>
      <c r="Y29" s="177">
        <v>48.705</v>
      </c>
      <c r="Z29" s="177">
        <v>53.746</v>
      </c>
      <c r="AA29" s="177">
        <v>48.903</v>
      </c>
      <c r="AB29" s="241">
        <v>50.881</v>
      </c>
      <c r="AC29" s="216">
        <f t="shared" si="2"/>
        <v>4.0447416313927675</v>
      </c>
      <c r="AD29" s="102" t="s">
        <v>80</v>
      </c>
      <c r="AF29" s="93"/>
      <c r="AG29" s="93"/>
      <c r="AH29" s="93"/>
      <c r="AI29" s="93"/>
      <c r="AJ29" s="93"/>
      <c r="AK29" s="93"/>
      <c r="AL29" s="93"/>
      <c r="AM29" s="93"/>
      <c r="AN29" s="93"/>
      <c r="AO29" s="93"/>
    </row>
    <row r="30" spans="1:41" ht="12.75" customHeight="1">
      <c r="A30" s="114"/>
      <c r="B30" s="133" t="s">
        <v>92</v>
      </c>
      <c r="C30" s="331">
        <v>0.776</v>
      </c>
      <c r="D30" s="331">
        <v>1.001</v>
      </c>
      <c r="E30" s="331">
        <v>1.459</v>
      </c>
      <c r="F30" s="176">
        <v>1.66</v>
      </c>
      <c r="G30" s="176">
        <v>1.767</v>
      </c>
      <c r="H30" s="176">
        <v>1.666</v>
      </c>
      <c r="I30" s="176">
        <v>1.635</v>
      </c>
      <c r="J30" s="176">
        <v>2.019</v>
      </c>
      <c r="K30" s="176">
        <v>1.857</v>
      </c>
      <c r="L30" s="176">
        <v>2.247</v>
      </c>
      <c r="M30" s="176">
        <v>2.048</v>
      </c>
      <c r="N30" s="176">
        <v>2.179</v>
      </c>
      <c r="O30" s="176">
        <v>2.183</v>
      </c>
      <c r="P30" s="176">
        <v>2.138</v>
      </c>
      <c r="Q30" s="176">
        <v>2.193</v>
      </c>
      <c r="R30" s="176">
        <v>2.073</v>
      </c>
      <c r="S30" s="176">
        <v>2.282</v>
      </c>
      <c r="T30" s="176">
        <v>2.422</v>
      </c>
      <c r="U30" s="176">
        <v>2.43</v>
      </c>
      <c r="V30" s="176">
        <v>2.586</v>
      </c>
      <c r="W30" s="176">
        <v>2.549</v>
      </c>
      <c r="X30" s="176">
        <v>2.174</v>
      </c>
      <c r="Y30" s="176">
        <v>2.313</v>
      </c>
      <c r="Z30" s="176">
        <v>2.322</v>
      </c>
      <c r="AA30" s="176">
        <v>2.421</v>
      </c>
      <c r="AB30" s="242">
        <v>2.29</v>
      </c>
      <c r="AC30" s="210">
        <f t="shared" si="2"/>
        <v>-5.4109871953738065</v>
      </c>
      <c r="AD30" s="133" t="s">
        <v>92</v>
      </c>
      <c r="AF30" s="93"/>
      <c r="AG30" s="93"/>
      <c r="AH30" s="93"/>
      <c r="AI30" s="93"/>
      <c r="AJ30" s="93"/>
      <c r="AK30" s="93"/>
      <c r="AL30" s="93"/>
      <c r="AM30" s="93"/>
      <c r="AN30" s="93"/>
      <c r="AO30" s="93"/>
    </row>
    <row r="31" spans="1:41" ht="12.75" customHeight="1">
      <c r="A31" s="114"/>
      <c r="B31" s="102" t="s">
        <v>102</v>
      </c>
      <c r="C31" s="208">
        <v>43.1</v>
      </c>
      <c r="D31" s="208">
        <v>64.8</v>
      </c>
      <c r="E31" s="208">
        <v>48.912</v>
      </c>
      <c r="F31" s="179">
        <v>32.561</v>
      </c>
      <c r="G31" s="179">
        <v>24.387</v>
      </c>
      <c r="H31" s="179">
        <v>22.046</v>
      </c>
      <c r="I31" s="179">
        <v>21.746</v>
      </c>
      <c r="J31" s="179">
        <v>17.907</v>
      </c>
      <c r="K31" s="179">
        <v>24.254</v>
      </c>
      <c r="L31" s="179">
        <v>22.111</v>
      </c>
      <c r="M31" s="179">
        <v>16.619</v>
      </c>
      <c r="N31" s="179">
        <v>14.679</v>
      </c>
      <c r="O31" s="174">
        <v>16.354</v>
      </c>
      <c r="P31" s="179">
        <v>16.102</v>
      </c>
      <c r="Q31" s="179">
        <v>15.218</v>
      </c>
      <c r="R31" s="179">
        <v>15.039</v>
      </c>
      <c r="S31" s="179">
        <v>17.022</v>
      </c>
      <c r="T31" s="179">
        <v>16.582</v>
      </c>
      <c r="U31" s="179">
        <v>15.791</v>
      </c>
      <c r="V31" s="179">
        <v>15.757</v>
      </c>
      <c r="W31" s="179">
        <v>15.236</v>
      </c>
      <c r="X31" s="179">
        <v>11.088</v>
      </c>
      <c r="Y31" s="179">
        <v>12.375</v>
      </c>
      <c r="Z31" s="179">
        <v>14.719</v>
      </c>
      <c r="AA31" s="179">
        <v>13.472</v>
      </c>
      <c r="AB31" s="181">
        <v>12.941</v>
      </c>
      <c r="AC31" s="216">
        <f t="shared" si="2"/>
        <v>-3.941508313539188</v>
      </c>
      <c r="AD31" s="102" t="s">
        <v>102</v>
      </c>
      <c r="AF31" s="93"/>
      <c r="AG31" s="93"/>
      <c r="AH31" s="93"/>
      <c r="AI31" s="93"/>
      <c r="AJ31" s="93"/>
      <c r="AK31" s="93"/>
      <c r="AL31" s="93"/>
      <c r="AM31" s="93"/>
      <c r="AN31" s="93"/>
      <c r="AO31" s="93"/>
    </row>
    <row r="32" spans="1:41" ht="12.75" customHeight="1">
      <c r="A32" s="114"/>
      <c r="B32" s="133" t="s">
        <v>83</v>
      </c>
      <c r="C32" s="331">
        <v>3.3</v>
      </c>
      <c r="D32" s="331">
        <v>3.8</v>
      </c>
      <c r="E32" s="331">
        <v>4.21</v>
      </c>
      <c r="F32" s="176">
        <v>3.2</v>
      </c>
      <c r="G32" s="176">
        <v>2.57</v>
      </c>
      <c r="H32" s="176">
        <v>2.26</v>
      </c>
      <c r="I32" s="176">
        <v>2.5</v>
      </c>
      <c r="J32" s="176">
        <v>3.076</v>
      </c>
      <c r="K32" s="176">
        <v>2.55</v>
      </c>
      <c r="L32" s="176">
        <v>2.9</v>
      </c>
      <c r="M32" s="176">
        <v>2.9</v>
      </c>
      <c r="N32" s="176">
        <v>2.784</v>
      </c>
      <c r="O32" s="176">
        <v>2.857</v>
      </c>
      <c r="P32" s="176">
        <v>2.837</v>
      </c>
      <c r="Q32" s="176">
        <v>3.078</v>
      </c>
      <c r="R32" s="176">
        <v>3.018</v>
      </c>
      <c r="S32" s="176">
        <v>3.149</v>
      </c>
      <c r="T32" s="176">
        <v>3.245</v>
      </c>
      <c r="U32" s="176">
        <v>3.373</v>
      </c>
      <c r="V32" s="176">
        <v>3.603</v>
      </c>
      <c r="W32" s="176">
        <v>3.52</v>
      </c>
      <c r="X32" s="176">
        <v>2.817</v>
      </c>
      <c r="Y32" s="176">
        <v>3.421</v>
      </c>
      <c r="Z32" s="176">
        <v>3.752</v>
      </c>
      <c r="AA32" s="176">
        <v>3.47</v>
      </c>
      <c r="AB32" s="242">
        <v>3.799</v>
      </c>
      <c r="AC32" s="210">
        <f t="shared" si="2"/>
        <v>9.481268011527376</v>
      </c>
      <c r="AD32" s="133" t="s">
        <v>83</v>
      </c>
      <c r="AF32" s="93"/>
      <c r="AG32" s="93"/>
      <c r="AH32" s="93"/>
      <c r="AI32" s="93"/>
      <c r="AJ32" s="93"/>
      <c r="AK32" s="93"/>
      <c r="AL32" s="93"/>
      <c r="AM32" s="93"/>
      <c r="AN32" s="93"/>
      <c r="AO32" s="93"/>
    </row>
    <row r="33" spans="1:41" ht="12.75" customHeight="1">
      <c r="A33" s="114"/>
      <c r="B33" s="102" t="s">
        <v>85</v>
      </c>
      <c r="C33" s="208"/>
      <c r="D33" s="208"/>
      <c r="E33" s="208"/>
      <c r="F33" s="179"/>
      <c r="G33" s="179"/>
      <c r="H33" s="179">
        <v>14.2</v>
      </c>
      <c r="I33" s="179">
        <v>12.2</v>
      </c>
      <c r="J33" s="179">
        <v>13.8</v>
      </c>
      <c r="K33" s="179">
        <v>12</v>
      </c>
      <c r="L33" s="179">
        <v>12.368</v>
      </c>
      <c r="M33" s="179">
        <v>11.753</v>
      </c>
      <c r="N33" s="179">
        <v>9.859</v>
      </c>
      <c r="O33" s="179">
        <v>11.233</v>
      </c>
      <c r="P33" s="179">
        <v>10.93</v>
      </c>
      <c r="Q33" s="179">
        <v>10.38</v>
      </c>
      <c r="R33" s="179">
        <v>10.113</v>
      </c>
      <c r="S33" s="179">
        <v>9.702</v>
      </c>
      <c r="T33" s="179">
        <v>9.463</v>
      </c>
      <c r="U33" s="179">
        <v>9.988</v>
      </c>
      <c r="V33" s="179">
        <v>9.647</v>
      </c>
      <c r="W33" s="179">
        <v>9.299</v>
      </c>
      <c r="X33" s="179">
        <v>6.964</v>
      </c>
      <c r="Y33" s="179">
        <v>8.105</v>
      </c>
      <c r="Z33" s="179">
        <v>7.96</v>
      </c>
      <c r="AA33" s="179">
        <v>7.591</v>
      </c>
      <c r="AB33" s="181">
        <v>8.494</v>
      </c>
      <c r="AC33" s="216">
        <f t="shared" si="2"/>
        <v>11.895665920168625</v>
      </c>
      <c r="AD33" s="102" t="s">
        <v>85</v>
      </c>
      <c r="AF33" s="93"/>
      <c r="AG33" s="93"/>
      <c r="AH33" s="93"/>
      <c r="AI33" s="93"/>
      <c r="AJ33" s="93"/>
      <c r="AK33" s="93"/>
      <c r="AL33" s="93"/>
      <c r="AM33" s="93"/>
      <c r="AN33" s="93"/>
      <c r="AO33" s="93"/>
    </row>
    <row r="34" spans="1:41" ht="12.75" customHeight="1">
      <c r="A34" s="114"/>
      <c r="B34" s="133" t="s">
        <v>87</v>
      </c>
      <c r="C34" s="331">
        <v>6.27</v>
      </c>
      <c r="D34" s="331">
        <v>8.335</v>
      </c>
      <c r="E34" s="331">
        <v>8.357</v>
      </c>
      <c r="F34" s="176">
        <v>7.63</v>
      </c>
      <c r="G34" s="176">
        <v>7.848</v>
      </c>
      <c r="H34" s="176">
        <v>9.26</v>
      </c>
      <c r="I34" s="176">
        <v>9.948</v>
      </c>
      <c r="J34" s="176">
        <v>9.6</v>
      </c>
      <c r="K34" s="176">
        <v>8.806</v>
      </c>
      <c r="L34" s="176">
        <v>9.856</v>
      </c>
      <c r="M34" s="176">
        <v>9.885</v>
      </c>
      <c r="N34" s="176">
        <v>9.753</v>
      </c>
      <c r="O34" s="176">
        <v>10.107</v>
      </c>
      <c r="P34" s="176">
        <v>9.857</v>
      </c>
      <c r="Q34" s="176">
        <v>9.664</v>
      </c>
      <c r="R34" s="176">
        <v>10.047</v>
      </c>
      <c r="S34" s="176">
        <v>10.105</v>
      </c>
      <c r="T34" s="176">
        <v>9.706</v>
      </c>
      <c r="U34" s="176">
        <v>11.06</v>
      </c>
      <c r="V34" s="176">
        <v>10.434</v>
      </c>
      <c r="W34" s="176">
        <v>10.777</v>
      </c>
      <c r="X34" s="176">
        <v>8.872</v>
      </c>
      <c r="Y34" s="176">
        <v>9.75</v>
      </c>
      <c r="Z34" s="176">
        <v>9.395</v>
      </c>
      <c r="AA34" s="176">
        <v>9.275</v>
      </c>
      <c r="AB34" s="242">
        <v>9.47</v>
      </c>
      <c r="AC34" s="210">
        <f t="shared" si="2"/>
        <v>2.1024258760107983</v>
      </c>
      <c r="AD34" s="133" t="s">
        <v>87</v>
      </c>
      <c r="AF34" s="93"/>
      <c r="AG34" s="93"/>
      <c r="AH34" s="93"/>
      <c r="AI34" s="93"/>
      <c r="AJ34" s="93"/>
      <c r="AK34" s="93"/>
      <c r="AL34" s="93"/>
      <c r="AM34" s="93"/>
      <c r="AN34" s="93"/>
      <c r="AO34" s="93"/>
    </row>
    <row r="35" spans="1:41" ht="12.75" customHeight="1">
      <c r="A35" s="114"/>
      <c r="B35" s="102" t="s">
        <v>88</v>
      </c>
      <c r="C35" s="208">
        <v>17.311</v>
      </c>
      <c r="D35" s="208">
        <v>16.648</v>
      </c>
      <c r="E35" s="208">
        <v>19.1</v>
      </c>
      <c r="F35" s="179">
        <v>18.816</v>
      </c>
      <c r="G35" s="179">
        <v>19.202</v>
      </c>
      <c r="H35" s="179">
        <v>18.578</v>
      </c>
      <c r="I35" s="179">
        <v>19.069</v>
      </c>
      <c r="J35" s="179">
        <v>19.391</v>
      </c>
      <c r="K35" s="179">
        <v>18.846</v>
      </c>
      <c r="L35" s="179">
        <v>19.181</v>
      </c>
      <c r="M35" s="179">
        <v>19.163</v>
      </c>
      <c r="N35" s="179">
        <v>19.09</v>
      </c>
      <c r="O35" s="179">
        <v>19.475</v>
      </c>
      <c r="P35" s="179">
        <v>18.954</v>
      </c>
      <c r="Q35" s="179">
        <v>19.197</v>
      </c>
      <c r="R35" s="179">
        <v>20.17</v>
      </c>
      <c r="S35" s="179">
        <v>20.856</v>
      </c>
      <c r="T35" s="179">
        <v>21.675</v>
      </c>
      <c r="U35" s="179">
        <v>22.271</v>
      </c>
      <c r="V35" s="179">
        <v>23.25</v>
      </c>
      <c r="W35" s="179">
        <v>22.924</v>
      </c>
      <c r="X35" s="179">
        <v>20.389</v>
      </c>
      <c r="Y35" s="179">
        <v>23.464</v>
      </c>
      <c r="Z35" s="179">
        <v>22.864</v>
      </c>
      <c r="AA35" s="179">
        <v>22.043</v>
      </c>
      <c r="AB35" s="181">
        <v>20.97</v>
      </c>
      <c r="AC35" s="216">
        <f t="shared" si="2"/>
        <v>-4.867758472077313</v>
      </c>
      <c r="AD35" s="102" t="s">
        <v>88</v>
      </c>
      <c r="AF35" s="93"/>
      <c r="AG35" s="93"/>
      <c r="AH35" s="93"/>
      <c r="AI35" s="93"/>
      <c r="AJ35" s="93"/>
      <c r="AK35" s="93"/>
      <c r="AL35" s="93"/>
      <c r="AM35" s="93"/>
      <c r="AN35" s="93"/>
      <c r="AO35" s="93"/>
    </row>
    <row r="36" spans="1:41" ht="12.75" customHeight="1">
      <c r="A36" s="114"/>
      <c r="B36" s="134" t="s">
        <v>13</v>
      </c>
      <c r="C36" s="454">
        <v>24.55</v>
      </c>
      <c r="D36" s="454">
        <v>17.816</v>
      </c>
      <c r="E36" s="454">
        <v>16</v>
      </c>
      <c r="F36" s="220">
        <v>15.3</v>
      </c>
      <c r="G36" s="220">
        <v>15.5</v>
      </c>
      <c r="H36" s="220">
        <v>13.8</v>
      </c>
      <c r="I36" s="220">
        <v>13</v>
      </c>
      <c r="J36" s="220">
        <v>13.3</v>
      </c>
      <c r="K36" s="220">
        <v>15.1</v>
      </c>
      <c r="L36" s="220">
        <v>16.9</v>
      </c>
      <c r="M36" s="220">
        <v>17.3</v>
      </c>
      <c r="N36" s="220">
        <v>18.2</v>
      </c>
      <c r="O36" s="220">
        <v>18.1</v>
      </c>
      <c r="P36" s="220">
        <v>19.4</v>
      </c>
      <c r="Q36" s="220">
        <v>18.5</v>
      </c>
      <c r="R36" s="220">
        <v>18.734</v>
      </c>
      <c r="S36" s="220">
        <v>22.552</v>
      </c>
      <c r="T36" s="220">
        <v>21.427</v>
      </c>
      <c r="U36" s="220">
        <v>21.919</v>
      </c>
      <c r="V36" s="220">
        <v>21.265</v>
      </c>
      <c r="W36" s="220">
        <v>21.077</v>
      </c>
      <c r="X36" s="220">
        <v>19.171</v>
      </c>
      <c r="Y36" s="220">
        <v>18.576</v>
      </c>
      <c r="Z36" s="220">
        <v>20.974</v>
      </c>
      <c r="AA36" s="220">
        <v>21.444</v>
      </c>
      <c r="AB36" s="350">
        <v>22.401</v>
      </c>
      <c r="AC36" s="237">
        <f t="shared" si="2"/>
        <v>4.462786793508684</v>
      </c>
      <c r="AD36" s="134" t="s">
        <v>13</v>
      </c>
      <c r="AF36" s="93"/>
      <c r="AG36" s="93"/>
      <c r="AH36" s="93"/>
      <c r="AI36" s="93"/>
      <c r="AJ36" s="93"/>
      <c r="AK36" s="93"/>
      <c r="AL36" s="93"/>
      <c r="AM36" s="93"/>
      <c r="AN36" s="93"/>
      <c r="AO36" s="93"/>
    </row>
    <row r="37" spans="1:41" ht="12.75" customHeight="1">
      <c r="A37" s="114"/>
      <c r="B37" s="102" t="s">
        <v>310</v>
      </c>
      <c r="C37" s="212">
        <v>0.16</v>
      </c>
      <c r="D37" s="601">
        <v>0.477</v>
      </c>
      <c r="E37" s="601">
        <v>0.584</v>
      </c>
      <c r="F37" s="183">
        <v>0.278</v>
      </c>
      <c r="G37" s="602">
        <v>0.06</v>
      </c>
      <c r="H37" s="183">
        <v>0.054</v>
      </c>
      <c r="I37" s="183">
        <v>0.053</v>
      </c>
      <c r="J37" s="183">
        <v>0.053</v>
      </c>
      <c r="K37" s="177">
        <v>0.042</v>
      </c>
      <c r="L37" s="177">
        <v>0.023</v>
      </c>
      <c r="M37" s="177">
        <v>0.025</v>
      </c>
      <c r="N37" s="177">
        <v>0.026</v>
      </c>
      <c r="O37" s="177">
        <v>0.028</v>
      </c>
      <c r="P37" s="177">
        <v>0.019</v>
      </c>
      <c r="Q37" s="177">
        <v>0.021</v>
      </c>
      <c r="R37" s="177">
        <v>0.032</v>
      </c>
      <c r="S37" s="177">
        <v>0.032</v>
      </c>
      <c r="T37" s="177">
        <v>0.026</v>
      </c>
      <c r="U37" s="177">
        <v>0.036</v>
      </c>
      <c r="V37" s="177">
        <v>0.053</v>
      </c>
      <c r="W37" s="177">
        <v>0.052</v>
      </c>
      <c r="X37" s="177">
        <v>0.046</v>
      </c>
      <c r="Y37" s="177">
        <v>0.066</v>
      </c>
      <c r="Z37" s="177">
        <v>0.05</v>
      </c>
      <c r="AA37" s="177">
        <v>0.025</v>
      </c>
      <c r="AB37" s="241">
        <v>0.023</v>
      </c>
      <c r="AC37" s="216">
        <f t="shared" si="2"/>
        <v>-8</v>
      </c>
      <c r="AD37" s="102" t="s">
        <v>310</v>
      </c>
      <c r="AF37" s="93"/>
      <c r="AG37" s="93"/>
      <c r="AH37" s="93"/>
      <c r="AI37" s="93"/>
      <c r="AJ37" s="93"/>
      <c r="AK37" s="93"/>
      <c r="AL37" s="93"/>
      <c r="AM37" s="93"/>
      <c r="AN37" s="93"/>
      <c r="AO37" s="93"/>
    </row>
    <row r="38" spans="1:41" ht="12.75" customHeight="1">
      <c r="A38" s="114"/>
      <c r="B38" s="294" t="s">
        <v>244</v>
      </c>
      <c r="C38" s="466"/>
      <c r="D38" s="466"/>
      <c r="E38" s="332"/>
      <c r="F38" s="332"/>
      <c r="G38" s="332"/>
      <c r="H38" s="332"/>
      <c r="I38" s="332"/>
      <c r="J38" s="332"/>
      <c r="K38" s="332"/>
      <c r="L38" s="332"/>
      <c r="M38" s="332"/>
      <c r="N38" s="332"/>
      <c r="O38" s="332"/>
      <c r="P38" s="332"/>
      <c r="Q38" s="332"/>
      <c r="R38" s="332"/>
      <c r="S38" s="332"/>
      <c r="T38" s="332"/>
      <c r="U38" s="332"/>
      <c r="V38" s="332">
        <v>0.185</v>
      </c>
      <c r="W38" s="332">
        <v>0.183</v>
      </c>
      <c r="X38" s="332">
        <v>0.1</v>
      </c>
      <c r="Y38" s="332">
        <v>0.15</v>
      </c>
      <c r="Z38" s="332">
        <v>0.136</v>
      </c>
      <c r="AA38" s="332">
        <v>0.073</v>
      </c>
      <c r="AB38" s="333">
        <v>0.105</v>
      </c>
      <c r="AC38" s="481">
        <f t="shared" si="2"/>
        <v>43.83561643835617</v>
      </c>
      <c r="AD38" s="294" t="s">
        <v>244</v>
      </c>
      <c r="AF38" s="93"/>
      <c r="AG38" s="93"/>
      <c r="AH38" s="93"/>
      <c r="AI38" s="93"/>
      <c r="AJ38" s="93"/>
      <c r="AK38" s="93"/>
      <c r="AL38" s="93"/>
      <c r="AM38" s="93"/>
      <c r="AN38" s="93"/>
      <c r="AO38" s="93"/>
    </row>
    <row r="39" spans="1:41" ht="12.75" customHeight="1">
      <c r="A39" s="114"/>
      <c r="B39" s="102" t="s">
        <v>149</v>
      </c>
      <c r="C39" s="211" t="s">
        <v>99</v>
      </c>
      <c r="D39" s="211" t="s">
        <v>99</v>
      </c>
      <c r="E39" s="177" t="s">
        <v>99</v>
      </c>
      <c r="F39" s="177"/>
      <c r="G39" s="177"/>
      <c r="H39" s="177"/>
      <c r="I39" s="177"/>
      <c r="J39" s="177"/>
      <c r="K39" s="177"/>
      <c r="L39" s="177"/>
      <c r="M39" s="177"/>
      <c r="N39" s="177"/>
      <c r="O39" s="177">
        <v>0.5</v>
      </c>
      <c r="P39" s="177">
        <v>0.462</v>
      </c>
      <c r="Q39" s="177">
        <v>0.334</v>
      </c>
      <c r="R39" s="177">
        <v>0.373</v>
      </c>
      <c r="S39" s="177">
        <v>0.426</v>
      </c>
      <c r="T39" s="177">
        <v>0.531</v>
      </c>
      <c r="U39" s="177">
        <v>0.614</v>
      </c>
      <c r="V39" s="177">
        <v>0.778</v>
      </c>
      <c r="W39" s="177">
        <v>0.743</v>
      </c>
      <c r="X39" s="177">
        <v>0.497</v>
      </c>
      <c r="Y39" s="177">
        <v>0.525</v>
      </c>
      <c r="Z39" s="177">
        <v>0.479</v>
      </c>
      <c r="AA39" s="177">
        <v>0.423</v>
      </c>
      <c r="AB39" s="241">
        <v>0.421</v>
      </c>
      <c r="AC39" s="216">
        <f t="shared" si="2"/>
        <v>-0.4728132387706836</v>
      </c>
      <c r="AD39" s="102" t="s">
        <v>149</v>
      </c>
      <c r="AF39" s="93"/>
      <c r="AG39" s="93"/>
      <c r="AH39" s="93"/>
      <c r="AI39" s="93"/>
      <c r="AJ39" s="93"/>
      <c r="AK39" s="93"/>
      <c r="AL39" s="93"/>
      <c r="AM39" s="93"/>
      <c r="AN39" s="93"/>
      <c r="AO39" s="93"/>
    </row>
    <row r="40" spans="1:41" ht="12.75" customHeight="1">
      <c r="A40" s="114"/>
      <c r="B40" s="294" t="s">
        <v>245</v>
      </c>
      <c r="C40" s="466"/>
      <c r="D40" s="466"/>
      <c r="E40" s="332"/>
      <c r="F40" s="332"/>
      <c r="G40" s="332"/>
      <c r="H40" s="332"/>
      <c r="I40" s="332"/>
      <c r="J40" s="332"/>
      <c r="K40" s="332"/>
      <c r="L40" s="332"/>
      <c r="M40" s="332"/>
      <c r="N40" s="332"/>
      <c r="O40" s="332"/>
      <c r="P40" s="332"/>
      <c r="Q40" s="332"/>
      <c r="R40" s="332"/>
      <c r="S40" s="332"/>
      <c r="T40" s="332"/>
      <c r="U40" s="332"/>
      <c r="V40" s="332"/>
      <c r="W40" s="332">
        <v>4.339</v>
      </c>
      <c r="X40" s="332">
        <v>2.967</v>
      </c>
      <c r="Y40" s="332">
        <v>3.522</v>
      </c>
      <c r="Z40" s="332">
        <v>3.611</v>
      </c>
      <c r="AA40" s="332">
        <v>2.769</v>
      </c>
      <c r="AB40" s="333">
        <v>3.022</v>
      </c>
      <c r="AC40" s="481">
        <f t="shared" si="2"/>
        <v>9.136872517154202</v>
      </c>
      <c r="AD40" s="294" t="s">
        <v>245</v>
      </c>
      <c r="AF40" s="93"/>
      <c r="AG40" s="93"/>
      <c r="AH40" s="93"/>
      <c r="AI40" s="93"/>
      <c r="AJ40" s="93"/>
      <c r="AK40" s="93"/>
      <c r="AL40" s="93"/>
      <c r="AM40" s="93"/>
      <c r="AN40" s="93"/>
      <c r="AO40" s="93"/>
    </row>
    <row r="41" spans="1:41" ht="12.75" customHeight="1">
      <c r="A41" s="114"/>
      <c r="B41" s="103" t="s">
        <v>150</v>
      </c>
      <c r="C41" s="351">
        <v>5.5</v>
      </c>
      <c r="D41" s="351">
        <v>5</v>
      </c>
      <c r="E41" s="335">
        <v>7.894</v>
      </c>
      <c r="F41" s="335">
        <v>7.977</v>
      </c>
      <c r="G41" s="335">
        <v>8.231</v>
      </c>
      <c r="H41" s="335">
        <v>8.396</v>
      </c>
      <c r="I41" s="335">
        <v>8.203</v>
      </c>
      <c r="J41" s="335">
        <v>8.506</v>
      </c>
      <c r="K41" s="335">
        <v>8.904</v>
      </c>
      <c r="L41" s="335">
        <v>9.606</v>
      </c>
      <c r="M41" s="335">
        <v>8.369</v>
      </c>
      <c r="N41" s="335">
        <v>8.23</v>
      </c>
      <c r="O41" s="335">
        <v>9.757</v>
      </c>
      <c r="P41" s="335">
        <v>7.483</v>
      </c>
      <c r="Q41" s="335">
        <v>7.176</v>
      </c>
      <c r="R41" s="335">
        <v>8.612</v>
      </c>
      <c r="S41" s="335">
        <v>9.332</v>
      </c>
      <c r="T41" s="335">
        <v>9.077</v>
      </c>
      <c r="U41" s="335">
        <v>9.544</v>
      </c>
      <c r="V41" s="335">
        <v>9.755</v>
      </c>
      <c r="W41" s="335">
        <v>10.552</v>
      </c>
      <c r="X41" s="335">
        <v>10.163</v>
      </c>
      <c r="Y41" s="335">
        <v>11.3</v>
      </c>
      <c r="Z41" s="335">
        <v>11.303</v>
      </c>
      <c r="AA41" s="335">
        <v>11.223</v>
      </c>
      <c r="AB41" s="336">
        <v>10.75</v>
      </c>
      <c r="AC41" s="238">
        <f t="shared" si="2"/>
        <v>-4.214559386973178</v>
      </c>
      <c r="AD41" s="103" t="s">
        <v>150</v>
      </c>
      <c r="AF41" s="93"/>
      <c r="AG41" s="93"/>
      <c r="AH41" s="93"/>
      <c r="AI41" s="93"/>
      <c r="AJ41" s="93"/>
      <c r="AK41" s="93"/>
      <c r="AL41" s="93"/>
      <c r="AM41" s="93"/>
      <c r="AN41" s="93"/>
      <c r="AO41" s="93"/>
    </row>
    <row r="42" spans="1:41" ht="12.75" customHeight="1">
      <c r="A42" s="114"/>
      <c r="B42" s="294" t="s">
        <v>151</v>
      </c>
      <c r="C42" s="466" t="s">
        <v>146</v>
      </c>
      <c r="D42" s="466" t="s">
        <v>146</v>
      </c>
      <c r="E42" s="473" t="s">
        <v>146</v>
      </c>
      <c r="F42" s="473" t="s">
        <v>146</v>
      </c>
      <c r="G42" s="473" t="s">
        <v>146</v>
      </c>
      <c r="H42" s="473" t="s">
        <v>146</v>
      </c>
      <c r="I42" s="473" t="s">
        <v>146</v>
      </c>
      <c r="J42" s="473" t="s">
        <v>146</v>
      </c>
      <c r="K42" s="473" t="s">
        <v>146</v>
      </c>
      <c r="L42" s="473" t="s">
        <v>146</v>
      </c>
      <c r="M42" s="473" t="s">
        <v>146</v>
      </c>
      <c r="N42" s="473" t="s">
        <v>146</v>
      </c>
      <c r="O42" s="473" t="s">
        <v>146</v>
      </c>
      <c r="P42" s="547" t="s">
        <v>146</v>
      </c>
      <c r="Q42" s="547" t="s">
        <v>146</v>
      </c>
      <c r="R42" s="547" t="s">
        <v>146</v>
      </c>
      <c r="S42" s="547" t="s">
        <v>146</v>
      </c>
      <c r="T42" s="547" t="s">
        <v>146</v>
      </c>
      <c r="U42" s="547" t="s">
        <v>146</v>
      </c>
      <c r="V42" s="547" t="s">
        <v>146</v>
      </c>
      <c r="W42" s="547" t="s">
        <v>146</v>
      </c>
      <c r="X42" s="547" t="s">
        <v>146</v>
      </c>
      <c r="Y42" s="547" t="s">
        <v>146</v>
      </c>
      <c r="Z42" s="603" t="s">
        <v>146</v>
      </c>
      <c r="AA42" s="603" t="s">
        <v>146</v>
      </c>
      <c r="AB42" s="604" t="s">
        <v>146</v>
      </c>
      <c r="AC42" s="545" t="s">
        <v>146</v>
      </c>
      <c r="AD42" s="522" t="s">
        <v>151</v>
      </c>
      <c r="AF42" s="93"/>
      <c r="AG42" s="93"/>
      <c r="AH42" s="93"/>
      <c r="AI42" s="93"/>
      <c r="AJ42" s="93"/>
      <c r="AK42" s="93"/>
      <c r="AL42" s="93"/>
      <c r="AM42" s="93"/>
      <c r="AN42" s="93"/>
      <c r="AO42" s="93"/>
    </row>
    <row r="43" spans="1:41" ht="12.75" customHeight="1">
      <c r="A43" s="114"/>
      <c r="B43" s="102" t="s">
        <v>152</v>
      </c>
      <c r="C43" s="211">
        <v>2.6</v>
      </c>
      <c r="D43" s="211">
        <v>3</v>
      </c>
      <c r="E43" s="177">
        <v>2.6</v>
      </c>
      <c r="F43" s="177">
        <v>2.7</v>
      </c>
      <c r="G43" s="177">
        <v>2.7</v>
      </c>
      <c r="H43" s="177">
        <v>2.9</v>
      </c>
      <c r="I43" s="177">
        <v>2.7</v>
      </c>
      <c r="J43" s="177">
        <v>2.7</v>
      </c>
      <c r="K43" s="177">
        <v>2.8</v>
      </c>
      <c r="L43" s="177">
        <v>3</v>
      </c>
      <c r="M43" s="177">
        <v>2.9</v>
      </c>
      <c r="N43" s="177">
        <v>2.9</v>
      </c>
      <c r="O43" s="177">
        <v>3</v>
      </c>
      <c r="P43" s="177">
        <v>2.9</v>
      </c>
      <c r="Q43" s="177">
        <v>2.7</v>
      </c>
      <c r="R43" s="177">
        <v>2.627</v>
      </c>
      <c r="S43" s="177">
        <v>2.845</v>
      </c>
      <c r="T43" s="177">
        <v>3.149</v>
      </c>
      <c r="U43" s="177">
        <v>3.351</v>
      </c>
      <c r="V43" s="177">
        <v>3.502</v>
      </c>
      <c r="W43" s="177">
        <v>3.621</v>
      </c>
      <c r="X43" s="177">
        <v>3.666</v>
      </c>
      <c r="Y43" s="177">
        <v>3.496</v>
      </c>
      <c r="Z43" s="177">
        <v>3.574</v>
      </c>
      <c r="AA43" s="177">
        <v>3.489</v>
      </c>
      <c r="AB43" s="241">
        <v>3.383</v>
      </c>
      <c r="AC43" s="216">
        <f t="shared" si="2"/>
        <v>-3.0381198051017435</v>
      </c>
      <c r="AD43" s="102" t="s">
        <v>152</v>
      </c>
      <c r="AF43" s="93"/>
      <c r="AG43" s="93"/>
      <c r="AH43" s="93"/>
      <c r="AI43" s="93"/>
      <c r="AJ43" s="93"/>
      <c r="AK43" s="93"/>
      <c r="AL43" s="93"/>
      <c r="AM43" s="93"/>
      <c r="AN43" s="93"/>
      <c r="AO43" s="93"/>
    </row>
    <row r="44" spans="1:41" ht="12.75" customHeight="1">
      <c r="A44" s="114"/>
      <c r="B44" s="477" t="s">
        <v>153</v>
      </c>
      <c r="C44" s="483">
        <v>6.9</v>
      </c>
      <c r="D44" s="483">
        <v>7.8</v>
      </c>
      <c r="E44" s="471">
        <v>9.045</v>
      </c>
      <c r="F44" s="471">
        <v>8.917</v>
      </c>
      <c r="G44" s="471">
        <v>8.458</v>
      </c>
      <c r="H44" s="471">
        <v>8.051</v>
      </c>
      <c r="I44" s="471">
        <v>8.819</v>
      </c>
      <c r="J44" s="471">
        <v>8.856</v>
      </c>
      <c r="K44" s="471">
        <v>8.031</v>
      </c>
      <c r="L44" s="471">
        <v>8.836</v>
      </c>
      <c r="M44" s="471">
        <v>9.411</v>
      </c>
      <c r="N44" s="471">
        <v>9.831</v>
      </c>
      <c r="O44" s="471">
        <v>11.08</v>
      </c>
      <c r="P44" s="471">
        <v>11.172</v>
      </c>
      <c r="Q44" s="471">
        <v>10.746</v>
      </c>
      <c r="R44" s="471">
        <v>10.598</v>
      </c>
      <c r="S44" s="471">
        <v>11.489</v>
      </c>
      <c r="T44" s="471">
        <v>11.677</v>
      </c>
      <c r="U44" s="471">
        <v>12.466</v>
      </c>
      <c r="V44" s="467">
        <v>11.952</v>
      </c>
      <c r="W44" s="471">
        <v>12.265</v>
      </c>
      <c r="X44" s="471">
        <v>10.565</v>
      </c>
      <c r="Y44" s="471">
        <v>11.074</v>
      </c>
      <c r="Z44" s="471">
        <v>11.526</v>
      </c>
      <c r="AA44" s="471">
        <v>11.061</v>
      </c>
      <c r="AB44" s="528">
        <v>11.812</v>
      </c>
      <c r="AC44" s="482">
        <f t="shared" si="2"/>
        <v>6.789621191574</v>
      </c>
      <c r="AD44" s="477" t="s">
        <v>153</v>
      </c>
      <c r="AF44" s="93"/>
      <c r="AG44" s="93"/>
      <c r="AH44" s="93"/>
      <c r="AI44" s="93"/>
      <c r="AJ44" s="93"/>
      <c r="AK44" s="93"/>
      <c r="AL44" s="93"/>
      <c r="AM44" s="93"/>
      <c r="AN44" s="93"/>
      <c r="AO44" s="93"/>
    </row>
    <row r="45" spans="2:41" ht="27" customHeight="1">
      <c r="B45" s="1083" t="s">
        <v>252</v>
      </c>
      <c r="C45" s="1083"/>
      <c r="D45" s="1083"/>
      <c r="E45" s="1083"/>
      <c r="F45" s="1083"/>
      <c r="G45" s="1083"/>
      <c r="H45" s="1083"/>
      <c r="I45" s="1083"/>
      <c r="J45" s="1083"/>
      <c r="K45" s="1083"/>
      <c r="L45" s="1083"/>
      <c r="M45" s="1083"/>
      <c r="N45" s="1083"/>
      <c r="O45" s="1083"/>
      <c r="P45" s="1083"/>
      <c r="Q45" s="1083"/>
      <c r="R45" s="1083"/>
      <c r="S45" s="1083"/>
      <c r="T45" s="1083"/>
      <c r="U45" s="1083"/>
      <c r="V45" s="1083"/>
      <c r="W45" s="1083"/>
      <c r="X45" s="1083"/>
      <c r="Y45" s="1083"/>
      <c r="Z45" s="1083"/>
      <c r="AA45" s="1083"/>
      <c r="AB45" s="1083"/>
      <c r="AC45" s="1083"/>
      <c r="AD45" s="1083"/>
      <c r="AE45" s="458"/>
      <c r="AF45" s="93"/>
      <c r="AG45" s="93"/>
      <c r="AH45" s="93"/>
      <c r="AI45" s="93"/>
      <c r="AJ45" s="93"/>
      <c r="AK45" s="93"/>
      <c r="AL45" s="93"/>
      <c r="AM45" s="93"/>
      <c r="AN45" s="93"/>
      <c r="AO45" s="93"/>
    </row>
    <row r="46" spans="2:41" ht="44.25" customHeight="1">
      <c r="B46" s="222" t="s">
        <v>194</v>
      </c>
      <c r="C46" s="1084" t="s">
        <v>318</v>
      </c>
      <c r="D46" s="1084"/>
      <c r="E46" s="1084"/>
      <c r="F46" s="1084"/>
      <c r="G46" s="1084"/>
      <c r="H46" s="1084"/>
      <c r="I46" s="1084"/>
      <c r="J46" s="1084"/>
      <c r="K46" s="1084"/>
      <c r="L46" s="1084"/>
      <c r="M46" s="1084"/>
      <c r="N46" s="1084"/>
      <c r="O46" s="1084"/>
      <c r="P46" s="1084"/>
      <c r="Q46" s="1084"/>
      <c r="R46" s="1084"/>
      <c r="S46" s="459"/>
      <c r="T46" s="459"/>
      <c r="U46" s="459"/>
      <c r="V46" s="459"/>
      <c r="W46" s="459"/>
      <c r="X46" s="459"/>
      <c r="Y46" s="459"/>
      <c r="Z46" s="459"/>
      <c r="AA46" s="459"/>
      <c r="AB46" s="459"/>
      <c r="AC46" s="459"/>
      <c r="AF46" s="93"/>
      <c r="AG46" s="93"/>
      <c r="AH46" s="93"/>
      <c r="AI46" s="93"/>
      <c r="AJ46" s="93"/>
      <c r="AK46" s="93"/>
      <c r="AL46" s="93"/>
      <c r="AM46" s="93"/>
      <c r="AN46" s="93"/>
      <c r="AO46" s="93"/>
    </row>
    <row r="47" spans="3:41" ht="12.75">
      <c r="C47" s="459"/>
      <c r="AF47" s="93"/>
      <c r="AG47" s="93"/>
      <c r="AH47" s="93"/>
      <c r="AI47" s="93"/>
      <c r="AJ47" s="93"/>
      <c r="AK47" s="93"/>
      <c r="AL47" s="93"/>
      <c r="AM47" s="93"/>
      <c r="AN47" s="93"/>
      <c r="AO47" s="93"/>
    </row>
    <row r="64" spans="16:21" ht="12.75">
      <c r="P64" s="460"/>
      <c r="Q64"/>
      <c r="R64"/>
      <c r="S64"/>
      <c r="T64"/>
      <c r="U64"/>
    </row>
    <row r="65" spans="16:21" ht="12.75">
      <c r="P65" s="460"/>
      <c r="Q65" s="460"/>
      <c r="R65"/>
      <c r="S65"/>
      <c r="T65"/>
      <c r="U65"/>
    </row>
    <row r="66" spans="16:21" ht="12.75">
      <c r="P66"/>
      <c r="Q66"/>
      <c r="R66"/>
      <c r="S66"/>
      <c r="T66"/>
      <c r="U66"/>
    </row>
    <row r="67" spans="16:21" ht="12.75">
      <c r="P67"/>
      <c r="Q67"/>
      <c r="R67"/>
      <c r="S67"/>
      <c r="T67"/>
      <c r="U67"/>
    </row>
    <row r="68" spans="16:21" ht="12.75">
      <c r="P68"/>
      <c r="Q68"/>
      <c r="R68"/>
      <c r="S68"/>
      <c r="T68"/>
      <c r="U68"/>
    </row>
    <row r="69" spans="16:21" ht="12.75">
      <c r="P69"/>
      <c r="Q69"/>
      <c r="R69"/>
      <c r="S69"/>
      <c r="T69"/>
      <c r="U69"/>
    </row>
    <row r="70" spans="16:21" ht="12.75">
      <c r="P70"/>
      <c r="Q70"/>
      <c r="R70"/>
      <c r="S70"/>
      <c r="T70"/>
      <c r="U70"/>
    </row>
    <row r="71" spans="16:21" ht="12.75">
      <c r="P71"/>
      <c r="Q71"/>
      <c r="R71"/>
      <c r="S71"/>
      <c r="T71"/>
      <c r="U71"/>
    </row>
    <row r="72" spans="16:21" ht="12.75">
      <c r="P72"/>
      <c r="Q72"/>
      <c r="R72"/>
      <c r="S72"/>
      <c r="T72"/>
      <c r="U72"/>
    </row>
    <row r="73" spans="16:21" ht="12.75">
      <c r="P73"/>
      <c r="Q73"/>
      <c r="R73"/>
      <c r="S73"/>
      <c r="T73"/>
      <c r="U73"/>
    </row>
    <row r="74" spans="16:21" ht="12.75">
      <c r="P74"/>
      <c r="Q74"/>
      <c r="R74"/>
      <c r="S74"/>
      <c r="T74"/>
      <c r="U74"/>
    </row>
  </sheetData>
  <sheetProtection/>
  <mergeCells count="3">
    <mergeCell ref="B2:AD2"/>
    <mergeCell ref="B45:AD45"/>
    <mergeCell ref="C46:R4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AE51"/>
  <sheetViews>
    <sheetView zoomScalePageLayoutView="0" workbookViewId="0" topLeftCell="A1">
      <selection activeCell="A1" sqref="A1"/>
    </sheetView>
  </sheetViews>
  <sheetFormatPr defaultColWidth="9.140625" defaultRowHeight="12.75"/>
  <cols>
    <col min="1" max="1" width="2.7109375" style="0" customWidth="1"/>
    <col min="2" max="2" width="4.00390625" style="96" customWidth="1"/>
    <col min="3" max="10" width="6.7109375" style="96" customWidth="1"/>
    <col min="11" max="14" width="6.7109375" style="96" hidden="1" customWidth="1"/>
    <col min="15" max="20" width="6.7109375" style="96" customWidth="1"/>
    <col min="21" max="26" width="7.28125" style="96" customWidth="1"/>
    <col min="27" max="28" width="7.421875" style="96" customWidth="1"/>
    <col min="29" max="29" width="6.28125" style="96" customWidth="1"/>
    <col min="30" max="30" width="4.7109375" style="96" customWidth="1"/>
    <col min="31" max="31" width="3.00390625" style="96" customWidth="1"/>
    <col min="32" max="16384" width="9.140625" style="96" customWidth="1"/>
  </cols>
  <sheetData>
    <row r="1" spans="2:30" ht="14.25" customHeight="1">
      <c r="B1" s="194"/>
      <c r="C1" s="253"/>
      <c r="D1" s="253"/>
      <c r="E1" s="95"/>
      <c r="F1" s="95"/>
      <c r="G1" s="95"/>
      <c r="H1" s="95"/>
      <c r="I1" s="95"/>
      <c r="J1" s="95"/>
      <c r="K1" s="95"/>
      <c r="L1" s="95"/>
      <c r="M1" s="95"/>
      <c r="N1" s="95"/>
      <c r="O1" s="95"/>
      <c r="P1" s="95"/>
      <c r="R1"/>
      <c r="U1" s="97"/>
      <c r="V1" s="97"/>
      <c r="W1" s="97"/>
      <c r="X1" s="97"/>
      <c r="Y1" s="97"/>
      <c r="Z1" s="97"/>
      <c r="AA1" s="97"/>
      <c r="AB1" s="97"/>
      <c r="AD1" s="97" t="s">
        <v>231</v>
      </c>
    </row>
    <row r="2" spans="1:30" s="197" customFormat="1" ht="30" customHeight="1">
      <c r="A2" s="229"/>
      <c r="B2" s="1059" t="s">
        <v>232</v>
      </c>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row>
    <row r="3" spans="2:31" ht="12" customHeight="1">
      <c r="B3" s="123"/>
      <c r="C3" s="123"/>
      <c r="E3" s="221"/>
      <c r="F3" s="221"/>
      <c r="G3" s="221"/>
      <c r="H3" s="221"/>
      <c r="I3" s="221"/>
      <c r="J3" s="255"/>
      <c r="K3" s="255"/>
      <c r="L3" s="255"/>
      <c r="M3" s="255"/>
      <c r="N3" s="255"/>
      <c r="O3" s="255"/>
      <c r="R3" s="352"/>
      <c r="T3" s="227"/>
      <c r="U3" s="227"/>
      <c r="W3" s="1086" t="s">
        <v>248</v>
      </c>
      <c r="X3" s="1086"/>
      <c r="Y3" s="198"/>
      <c r="Z3" s="198"/>
      <c r="AA3" s="198"/>
      <c r="AB3" s="198"/>
      <c r="AC3" s="199"/>
      <c r="AD3" s="346"/>
      <c r="AE3" s="346"/>
    </row>
    <row r="4" spans="2:31" ht="19.5" customHeight="1">
      <c r="B4" s="98"/>
      <c r="C4" s="99">
        <v>1970</v>
      </c>
      <c r="D4" s="99">
        <v>1980</v>
      </c>
      <c r="E4" s="101">
        <v>1990</v>
      </c>
      <c r="F4" s="101">
        <v>1991</v>
      </c>
      <c r="G4" s="101">
        <v>1992</v>
      </c>
      <c r="H4" s="101">
        <v>1993</v>
      </c>
      <c r="I4" s="101">
        <v>1994</v>
      </c>
      <c r="J4" s="101">
        <v>1995</v>
      </c>
      <c r="K4" s="101">
        <v>1996</v>
      </c>
      <c r="L4" s="101">
        <v>1997</v>
      </c>
      <c r="M4" s="101">
        <v>1998</v>
      </c>
      <c r="N4" s="101">
        <v>1999</v>
      </c>
      <c r="O4" s="101">
        <v>2000</v>
      </c>
      <c r="P4" s="101">
        <v>2001</v>
      </c>
      <c r="Q4" s="101">
        <v>2002</v>
      </c>
      <c r="R4" s="101">
        <v>2003</v>
      </c>
      <c r="S4" s="101">
        <v>2004</v>
      </c>
      <c r="T4" s="101">
        <v>2005</v>
      </c>
      <c r="U4" s="101">
        <v>2006</v>
      </c>
      <c r="V4" s="101">
        <v>2007</v>
      </c>
      <c r="W4" s="101">
        <v>2008</v>
      </c>
      <c r="X4" s="101">
        <v>2009</v>
      </c>
      <c r="Y4" s="101">
        <v>2010</v>
      </c>
      <c r="Z4" s="101">
        <v>2011</v>
      </c>
      <c r="AA4" s="101">
        <v>2012</v>
      </c>
      <c r="AB4" s="101">
        <v>2013</v>
      </c>
      <c r="AC4" s="122" t="s">
        <v>314</v>
      </c>
      <c r="AD4" s="224"/>
      <c r="AE4" s="461"/>
    </row>
    <row r="5" spans="2:31" ht="9.75" customHeight="1">
      <c r="B5" s="98"/>
      <c r="C5" s="126"/>
      <c r="D5" s="225"/>
      <c r="E5" s="200"/>
      <c r="F5" s="200"/>
      <c r="G5" s="200"/>
      <c r="H5" s="200"/>
      <c r="I5" s="200"/>
      <c r="J5" s="200"/>
      <c r="K5" s="200"/>
      <c r="L5" s="200"/>
      <c r="M5" s="200"/>
      <c r="N5" s="200"/>
      <c r="O5" s="200"/>
      <c r="P5" s="200"/>
      <c r="Q5" s="200"/>
      <c r="R5" s="200"/>
      <c r="S5" s="200"/>
      <c r="T5" s="200"/>
      <c r="U5" s="200"/>
      <c r="V5" s="200"/>
      <c r="W5" s="200"/>
      <c r="X5" s="200"/>
      <c r="Y5" s="200"/>
      <c r="Z5" s="200"/>
      <c r="AA5" s="200"/>
      <c r="AB5" s="200"/>
      <c r="AC5" s="226" t="s">
        <v>147</v>
      </c>
      <c r="AD5" s="224"/>
      <c r="AE5" s="461"/>
    </row>
    <row r="6" spans="2:31" ht="12.75" customHeight="1">
      <c r="B6" s="129" t="s">
        <v>260</v>
      </c>
      <c r="C6" s="347">
        <f>SUM(C9:C36)+2.43</f>
        <v>112.776</v>
      </c>
      <c r="D6" s="347">
        <f>SUM(D9:D36)+3.59</f>
        <v>119.771</v>
      </c>
      <c r="E6" s="167">
        <f>SUM(E9:E36)+4.42</f>
        <v>118.83522714499999</v>
      </c>
      <c r="F6" s="167">
        <f>SUM(F9:F36)+3.89</f>
        <v>116.70840167300001</v>
      </c>
      <c r="G6" s="167">
        <f>SUM(G9:G36)+2.98</f>
        <v>115.05673840299998</v>
      </c>
      <c r="H6" s="167">
        <f aca="true" t="shared" si="0" ref="H6:AB6">SUM(H9:H36)</f>
        <v>109.08724280999999</v>
      </c>
      <c r="I6" s="167">
        <f t="shared" si="0"/>
        <v>118.78323084900002</v>
      </c>
      <c r="J6" s="167">
        <f t="shared" si="0"/>
        <v>122.118208</v>
      </c>
      <c r="K6" s="167">
        <f t="shared" si="0"/>
        <v>119.778492</v>
      </c>
      <c r="L6" s="167">
        <f t="shared" si="0"/>
        <v>127.87012699999998</v>
      </c>
      <c r="M6" s="167">
        <f t="shared" si="0"/>
        <v>131.064354551</v>
      </c>
      <c r="N6" s="167">
        <f t="shared" si="0"/>
        <v>128.778899</v>
      </c>
      <c r="O6" s="167">
        <f t="shared" si="0"/>
        <v>133.9248856</v>
      </c>
      <c r="P6" s="167">
        <f t="shared" si="0"/>
        <v>132.6062436</v>
      </c>
      <c r="Q6" s="167">
        <f t="shared" si="0"/>
        <v>132.594023</v>
      </c>
      <c r="R6" s="167">
        <f t="shared" si="0"/>
        <v>123.6150852</v>
      </c>
      <c r="S6" s="167">
        <f t="shared" si="0"/>
        <v>136.91315100000006</v>
      </c>
      <c r="T6" s="167">
        <f t="shared" si="0"/>
        <v>138.78097439999996</v>
      </c>
      <c r="U6" s="167">
        <f t="shared" si="0"/>
        <v>138.57696909999999</v>
      </c>
      <c r="V6" s="167">
        <f t="shared" si="0"/>
        <v>145.07299999999998</v>
      </c>
      <c r="W6" s="167">
        <f t="shared" si="0"/>
        <v>146.129</v>
      </c>
      <c r="X6" s="167">
        <f t="shared" si="0"/>
        <v>130.532</v>
      </c>
      <c r="Y6" s="167">
        <f t="shared" si="0"/>
        <v>155.521</v>
      </c>
      <c r="Z6" s="167">
        <f t="shared" si="0"/>
        <v>141.96900000000002</v>
      </c>
      <c r="AA6" s="167">
        <f t="shared" si="0"/>
        <v>149.987</v>
      </c>
      <c r="AB6" s="167">
        <f t="shared" si="0"/>
        <v>152.74900000000002</v>
      </c>
      <c r="AC6" s="347">
        <f>AB6/AA6*100-100</f>
        <v>1.841492929387229</v>
      </c>
      <c r="AD6" s="129" t="s">
        <v>260</v>
      </c>
      <c r="AE6" s="461"/>
    </row>
    <row r="7" spans="1:30" ht="12.75" customHeight="1">
      <c r="A7" s="114"/>
      <c r="B7" s="133" t="s">
        <v>89</v>
      </c>
      <c r="C7" s="348">
        <f aca="true" t="shared" si="1" ref="C7:AB7">C9+C13+C18+C20+C24+C27+C28+C34+C36</f>
        <v>102.626</v>
      </c>
      <c r="D7" s="348">
        <f t="shared" si="1"/>
        <v>105.891</v>
      </c>
      <c r="E7" s="170">
        <f t="shared" si="1"/>
        <v>106.97722714499997</v>
      </c>
      <c r="F7" s="170">
        <f t="shared" si="1"/>
        <v>107.16240167300002</v>
      </c>
      <c r="G7" s="170">
        <f t="shared" si="1"/>
        <v>106.95373840299997</v>
      </c>
      <c r="H7" s="170">
        <f t="shared" si="1"/>
        <v>104.70724281</v>
      </c>
      <c r="I7" s="170">
        <f t="shared" si="1"/>
        <v>113.25353084899999</v>
      </c>
      <c r="J7" s="170">
        <f t="shared" si="1"/>
        <v>114.596308</v>
      </c>
      <c r="K7" s="170">
        <f t="shared" si="1"/>
        <v>111.37309199999999</v>
      </c>
      <c r="L7" s="170">
        <f t="shared" si="1"/>
        <v>118.92042699999998</v>
      </c>
      <c r="M7" s="170">
        <f t="shared" si="1"/>
        <v>121.944141</v>
      </c>
      <c r="N7" s="170">
        <f t="shared" si="1"/>
        <v>121.99729899999998</v>
      </c>
      <c r="O7" s="170">
        <f t="shared" si="1"/>
        <v>127.380566</v>
      </c>
      <c r="P7" s="170">
        <f t="shared" si="1"/>
        <v>125.94002399999998</v>
      </c>
      <c r="Q7" s="170">
        <f t="shared" si="1"/>
        <v>125.08906300000001</v>
      </c>
      <c r="R7" s="170">
        <f t="shared" si="1"/>
        <v>116.41082</v>
      </c>
      <c r="S7" s="170">
        <f t="shared" si="1"/>
        <v>126.01883</v>
      </c>
      <c r="T7" s="170">
        <f t="shared" si="1"/>
        <v>126.22875</v>
      </c>
      <c r="U7" s="170">
        <f t="shared" si="1"/>
        <v>126.622974</v>
      </c>
      <c r="V7" s="170">
        <f t="shared" si="1"/>
        <v>132.21900000000002</v>
      </c>
      <c r="W7" s="170">
        <f t="shared" si="1"/>
        <v>130.042</v>
      </c>
      <c r="X7" s="170">
        <f t="shared" si="1"/>
        <v>109.636</v>
      </c>
      <c r="Y7" s="170">
        <f t="shared" si="1"/>
        <v>130.458</v>
      </c>
      <c r="Z7" s="170">
        <f t="shared" si="1"/>
        <v>122.58100000000003</v>
      </c>
      <c r="AA7" s="170">
        <f t="shared" si="1"/>
        <v>128.208</v>
      </c>
      <c r="AB7" s="170">
        <f t="shared" si="1"/>
        <v>131.316</v>
      </c>
      <c r="AC7" s="348">
        <f aca="true" t="shared" si="2" ref="AC7:AC44">AB7/AA7*100-100</f>
        <v>2.4241856982403647</v>
      </c>
      <c r="AD7" s="133" t="s">
        <v>89</v>
      </c>
    </row>
    <row r="8" spans="1:30" ht="12.75" customHeight="1">
      <c r="A8" s="114"/>
      <c r="B8" s="134" t="s">
        <v>261</v>
      </c>
      <c r="C8" s="349">
        <f aca="true" t="shared" si="3" ref="C8:X8">C6-C7</f>
        <v>10.149999999999991</v>
      </c>
      <c r="D8" s="349">
        <f t="shared" si="3"/>
        <v>13.879999999999995</v>
      </c>
      <c r="E8" s="173">
        <f t="shared" si="3"/>
        <v>11.858000000000018</v>
      </c>
      <c r="F8" s="173">
        <f t="shared" si="3"/>
        <v>9.545999999999992</v>
      </c>
      <c r="G8" s="173">
        <f t="shared" si="3"/>
        <v>8.103000000000009</v>
      </c>
      <c r="H8" s="173">
        <f t="shared" si="3"/>
        <v>4.3799999999999955</v>
      </c>
      <c r="I8" s="173">
        <f t="shared" si="3"/>
        <v>5.529700000000034</v>
      </c>
      <c r="J8" s="173">
        <f t="shared" si="3"/>
        <v>7.521900000000002</v>
      </c>
      <c r="K8" s="173">
        <f t="shared" si="3"/>
        <v>8.405400000000014</v>
      </c>
      <c r="L8" s="173">
        <f t="shared" si="3"/>
        <v>8.949700000000007</v>
      </c>
      <c r="M8" s="173">
        <f t="shared" si="3"/>
        <v>9.120213551000006</v>
      </c>
      <c r="N8" s="173">
        <f t="shared" si="3"/>
        <v>6.781600000000012</v>
      </c>
      <c r="O8" s="173">
        <f t="shared" si="3"/>
        <v>6.544319600000009</v>
      </c>
      <c r="P8" s="173">
        <f t="shared" si="3"/>
        <v>6.666219600000019</v>
      </c>
      <c r="Q8" s="173">
        <f t="shared" si="3"/>
        <v>7.504959999999983</v>
      </c>
      <c r="R8" s="173">
        <f t="shared" si="3"/>
        <v>7.204265199999995</v>
      </c>
      <c r="S8" s="173">
        <f t="shared" si="3"/>
        <v>10.894321000000062</v>
      </c>
      <c r="T8" s="173">
        <f t="shared" si="3"/>
        <v>12.552224399999957</v>
      </c>
      <c r="U8" s="173">
        <f t="shared" si="3"/>
        <v>11.953995099999986</v>
      </c>
      <c r="V8" s="173">
        <f t="shared" si="3"/>
        <v>12.853999999999957</v>
      </c>
      <c r="W8" s="173">
        <f t="shared" si="3"/>
        <v>16.08699999999999</v>
      </c>
      <c r="X8" s="173">
        <f t="shared" si="3"/>
        <v>20.896000000000015</v>
      </c>
      <c r="Y8" s="173">
        <f>Y6-Y7</f>
        <v>25.062999999999988</v>
      </c>
      <c r="Z8" s="173">
        <f>Z6-Z7</f>
        <v>19.38799999999999</v>
      </c>
      <c r="AA8" s="173">
        <f>AA6-AA7</f>
        <v>21.778999999999996</v>
      </c>
      <c r="AB8" s="173">
        <f>AB6-AB7</f>
        <v>21.43300000000002</v>
      </c>
      <c r="AC8" s="349">
        <f t="shared" si="2"/>
        <v>-1.5886863492353882</v>
      </c>
      <c r="AD8" s="134" t="s">
        <v>261</v>
      </c>
    </row>
    <row r="9" spans="1:30" ht="12.75" customHeight="1">
      <c r="A9" s="114"/>
      <c r="B9" s="102" t="s">
        <v>60</v>
      </c>
      <c r="C9" s="202">
        <v>6.734</v>
      </c>
      <c r="D9" s="202">
        <v>5.852</v>
      </c>
      <c r="E9" s="179">
        <v>5.388896222</v>
      </c>
      <c r="F9" s="179">
        <v>5.177006499</v>
      </c>
      <c r="G9" s="179">
        <v>5.0178631</v>
      </c>
      <c r="H9" s="179">
        <v>4.931673973</v>
      </c>
      <c r="I9" s="179">
        <v>5.490262438</v>
      </c>
      <c r="J9" s="179">
        <v>5.731</v>
      </c>
      <c r="K9" s="179">
        <v>5.715</v>
      </c>
      <c r="L9" s="179">
        <v>5.829</v>
      </c>
      <c r="M9" s="179">
        <v>6.015</v>
      </c>
      <c r="N9" s="179">
        <v>6.362</v>
      </c>
      <c r="O9" s="179">
        <v>7.215</v>
      </c>
      <c r="P9" s="179">
        <v>7.655</v>
      </c>
      <c r="Q9" s="179">
        <v>8.073</v>
      </c>
      <c r="R9" s="179">
        <v>8.23</v>
      </c>
      <c r="S9" s="179">
        <v>8.392</v>
      </c>
      <c r="T9" s="179">
        <v>8.566</v>
      </c>
      <c r="U9" s="179">
        <v>8.908</v>
      </c>
      <c r="V9" s="179">
        <v>9.006</v>
      </c>
      <c r="W9" s="179">
        <v>8.746</v>
      </c>
      <c r="X9" s="179">
        <v>7.087</v>
      </c>
      <c r="Y9" s="179">
        <v>9.07</v>
      </c>
      <c r="Z9" s="179">
        <v>9.251</v>
      </c>
      <c r="AA9" s="179">
        <v>10.42</v>
      </c>
      <c r="AB9" s="179">
        <v>10.365</v>
      </c>
      <c r="AC9" s="209">
        <f t="shared" si="2"/>
        <v>-0.5278310940499011</v>
      </c>
      <c r="AD9" s="102" t="s">
        <v>60</v>
      </c>
    </row>
    <row r="10" spans="1:30" ht="12.75" customHeight="1">
      <c r="A10" s="114"/>
      <c r="B10" s="133" t="s">
        <v>101</v>
      </c>
      <c r="C10" s="204">
        <v>1.83</v>
      </c>
      <c r="D10" s="204">
        <v>2.61</v>
      </c>
      <c r="E10" s="176">
        <v>1.61</v>
      </c>
      <c r="F10" s="176">
        <v>1.024</v>
      </c>
      <c r="G10" s="176">
        <v>0.837</v>
      </c>
      <c r="H10" s="176">
        <v>0.46</v>
      </c>
      <c r="I10" s="176">
        <v>0.36</v>
      </c>
      <c r="J10" s="176">
        <v>0.526</v>
      </c>
      <c r="K10" s="176">
        <v>0.505</v>
      </c>
      <c r="L10" s="176">
        <v>0.6</v>
      </c>
      <c r="M10" s="176">
        <v>0.563</v>
      </c>
      <c r="N10" s="176">
        <v>0.187</v>
      </c>
      <c r="O10" s="176">
        <v>0.313</v>
      </c>
      <c r="P10" s="176">
        <v>0.418</v>
      </c>
      <c r="Q10" s="176">
        <v>0.561</v>
      </c>
      <c r="R10" s="176">
        <v>0.613</v>
      </c>
      <c r="S10" s="176">
        <v>0.697</v>
      </c>
      <c r="T10" s="176">
        <v>0.757</v>
      </c>
      <c r="U10" s="176">
        <v>0.785</v>
      </c>
      <c r="V10" s="215">
        <v>1.011</v>
      </c>
      <c r="W10" s="215">
        <v>2.89</v>
      </c>
      <c r="X10" s="176">
        <v>5.436</v>
      </c>
      <c r="Y10" s="176">
        <v>6.048</v>
      </c>
      <c r="Z10" s="176">
        <v>4.31</v>
      </c>
      <c r="AA10" s="176">
        <v>5.349</v>
      </c>
      <c r="AB10" s="176">
        <v>5.374</v>
      </c>
      <c r="AC10" s="210">
        <f t="shared" si="2"/>
        <v>0.4673770798279975</v>
      </c>
      <c r="AD10" s="133" t="s">
        <v>101</v>
      </c>
    </row>
    <row r="11" spans="1:30" ht="12.75" customHeight="1">
      <c r="A11" s="114"/>
      <c r="B11" s="102" t="s">
        <v>61</v>
      </c>
      <c r="C11" s="211"/>
      <c r="D11" s="211"/>
      <c r="E11" s="177"/>
      <c r="F11" s="177"/>
      <c r="G11" s="177"/>
      <c r="H11" s="178"/>
      <c r="I11" s="177">
        <v>0.2526</v>
      </c>
      <c r="J11" s="177">
        <v>0.2757</v>
      </c>
      <c r="K11" s="177">
        <v>0.2565</v>
      </c>
      <c r="L11" s="177">
        <v>0.0984</v>
      </c>
      <c r="M11" s="177">
        <v>0.100313551</v>
      </c>
      <c r="N11" s="177">
        <v>0.087</v>
      </c>
      <c r="O11" s="177">
        <v>0.089</v>
      </c>
      <c r="P11" s="177">
        <v>0.078</v>
      </c>
      <c r="Q11" s="177">
        <v>0.08</v>
      </c>
      <c r="R11" s="177">
        <v>0.058</v>
      </c>
      <c r="S11" s="177">
        <v>0.048</v>
      </c>
      <c r="T11" s="177">
        <v>0.063</v>
      </c>
      <c r="U11" s="177">
        <v>0.043</v>
      </c>
      <c r="V11" s="177">
        <v>0.036</v>
      </c>
      <c r="W11" s="177">
        <v>0.028</v>
      </c>
      <c r="X11" s="177">
        <v>0.033</v>
      </c>
      <c r="Y11" s="177">
        <v>0.043</v>
      </c>
      <c r="Z11" s="177">
        <v>0.042</v>
      </c>
      <c r="AA11" s="177">
        <v>0.038</v>
      </c>
      <c r="AB11" s="177">
        <v>0.025</v>
      </c>
      <c r="AC11" s="216">
        <f t="shared" si="2"/>
        <v>-34.210526315789465</v>
      </c>
      <c r="AD11" s="102" t="s">
        <v>61</v>
      </c>
    </row>
    <row r="12" spans="1:30" ht="12.75" customHeight="1">
      <c r="A12" s="114"/>
      <c r="B12" s="133" t="s">
        <v>14</v>
      </c>
      <c r="C12" s="204" t="s">
        <v>146</v>
      </c>
      <c r="D12" s="204" t="s">
        <v>146</v>
      </c>
      <c r="E12" s="176" t="s">
        <v>146</v>
      </c>
      <c r="F12" s="176" t="s">
        <v>146</v>
      </c>
      <c r="G12" s="176" t="s">
        <v>146</v>
      </c>
      <c r="H12" s="176" t="s">
        <v>146</v>
      </c>
      <c r="I12" s="176" t="s">
        <v>146</v>
      </c>
      <c r="J12" s="176" t="s">
        <v>146</v>
      </c>
      <c r="K12" s="176" t="s">
        <v>146</v>
      </c>
      <c r="L12" s="176" t="s">
        <v>146</v>
      </c>
      <c r="M12" s="176" t="s">
        <v>146</v>
      </c>
      <c r="N12" s="176" t="s">
        <v>146</v>
      </c>
      <c r="O12" s="176" t="s">
        <v>146</v>
      </c>
      <c r="P12" s="176" t="s">
        <v>146</v>
      </c>
      <c r="Q12" s="176" t="s">
        <v>146</v>
      </c>
      <c r="R12" s="176" t="s">
        <v>146</v>
      </c>
      <c r="S12" s="176" t="s">
        <v>146</v>
      </c>
      <c r="T12" s="176" t="s">
        <v>146</v>
      </c>
      <c r="U12" s="176" t="s">
        <v>146</v>
      </c>
      <c r="V12" s="176" t="s">
        <v>146</v>
      </c>
      <c r="W12" s="176" t="s">
        <v>146</v>
      </c>
      <c r="X12" s="176" t="s">
        <v>146</v>
      </c>
      <c r="Y12" s="176" t="s">
        <v>146</v>
      </c>
      <c r="Z12" s="176" t="s">
        <v>146</v>
      </c>
      <c r="AA12" s="176" t="s">
        <v>146</v>
      </c>
      <c r="AB12" s="176" t="s">
        <v>146</v>
      </c>
      <c r="AC12" s="210" t="s">
        <v>146</v>
      </c>
      <c r="AD12" s="133" t="s">
        <v>14</v>
      </c>
    </row>
    <row r="13" spans="1:30" ht="12.75" customHeight="1">
      <c r="A13" s="114"/>
      <c r="B13" s="102" t="s">
        <v>63</v>
      </c>
      <c r="C13" s="211">
        <v>48.8</v>
      </c>
      <c r="D13" s="211">
        <v>51.4</v>
      </c>
      <c r="E13" s="177">
        <v>54.803</v>
      </c>
      <c r="F13" s="177">
        <v>55.973424605</v>
      </c>
      <c r="G13" s="177">
        <v>57.239443126</v>
      </c>
      <c r="H13" s="177">
        <v>57.559339868</v>
      </c>
      <c r="I13" s="177">
        <v>61.77196685</v>
      </c>
      <c r="J13" s="177">
        <v>63.982</v>
      </c>
      <c r="K13" s="177">
        <v>61.291</v>
      </c>
      <c r="L13" s="177">
        <v>62.153</v>
      </c>
      <c r="M13" s="177">
        <v>64.267</v>
      </c>
      <c r="N13" s="177">
        <v>62.692</v>
      </c>
      <c r="O13" s="177">
        <v>66.465</v>
      </c>
      <c r="P13" s="177">
        <v>64.818</v>
      </c>
      <c r="Q13" s="177">
        <v>64.166</v>
      </c>
      <c r="R13" s="177">
        <v>58.154</v>
      </c>
      <c r="S13" s="177">
        <v>63.667</v>
      </c>
      <c r="T13" s="177">
        <v>64.096</v>
      </c>
      <c r="U13" s="177">
        <v>63.975</v>
      </c>
      <c r="V13" s="177">
        <v>64.711</v>
      </c>
      <c r="W13" s="177">
        <v>64.056</v>
      </c>
      <c r="X13" s="177">
        <v>55.652</v>
      </c>
      <c r="Y13" s="177">
        <v>62.278</v>
      </c>
      <c r="Z13" s="177">
        <v>55.027</v>
      </c>
      <c r="AA13" s="177">
        <v>58.488</v>
      </c>
      <c r="AB13" s="177">
        <v>60.07</v>
      </c>
      <c r="AC13" s="216">
        <f t="shared" si="2"/>
        <v>2.7048283408562384</v>
      </c>
      <c r="AD13" s="102" t="s">
        <v>63</v>
      </c>
    </row>
    <row r="14" spans="1:30" ht="12.75" customHeight="1">
      <c r="A14" s="114"/>
      <c r="B14" s="133" t="s">
        <v>64</v>
      </c>
      <c r="C14" s="204">
        <v>0.01</v>
      </c>
      <c r="D14" s="204">
        <v>0.01</v>
      </c>
      <c r="E14" s="176">
        <v>0</v>
      </c>
      <c r="F14" s="176">
        <v>0.001</v>
      </c>
      <c r="G14" s="176">
        <v>0.001</v>
      </c>
      <c r="H14" s="176">
        <v>0</v>
      </c>
      <c r="I14" s="176">
        <v>0.001</v>
      </c>
      <c r="J14" s="176">
        <v>0</v>
      </c>
      <c r="K14" s="176">
        <v>0</v>
      </c>
      <c r="L14" s="176">
        <v>0</v>
      </c>
      <c r="M14" s="176">
        <v>0</v>
      </c>
      <c r="N14" s="176">
        <v>0.002</v>
      </c>
      <c r="O14" s="176" t="s">
        <v>146</v>
      </c>
      <c r="P14" s="176" t="s">
        <v>146</v>
      </c>
      <c r="Q14" s="176" t="s">
        <v>146</v>
      </c>
      <c r="R14" s="176" t="s">
        <v>146</v>
      </c>
      <c r="S14" s="176" t="s">
        <v>146</v>
      </c>
      <c r="T14" s="176" t="s">
        <v>146</v>
      </c>
      <c r="U14" s="176" t="s">
        <v>146</v>
      </c>
      <c r="V14" s="176" t="s">
        <v>146</v>
      </c>
      <c r="W14" s="176" t="s">
        <v>146</v>
      </c>
      <c r="X14" s="176" t="s">
        <v>146</v>
      </c>
      <c r="Y14" s="176" t="s">
        <v>146</v>
      </c>
      <c r="Z14" s="176" t="s">
        <v>146</v>
      </c>
      <c r="AA14" s="176" t="s">
        <v>146</v>
      </c>
      <c r="AB14" s="176" t="s">
        <v>146</v>
      </c>
      <c r="AC14" s="210" t="s">
        <v>146</v>
      </c>
      <c r="AD14" s="133" t="s">
        <v>64</v>
      </c>
    </row>
    <row r="15" spans="1:30" ht="12.75" customHeight="1">
      <c r="A15" s="114"/>
      <c r="B15" s="102" t="s">
        <v>68</v>
      </c>
      <c r="C15" s="202" t="s">
        <v>146</v>
      </c>
      <c r="D15" s="202" t="s">
        <v>146</v>
      </c>
      <c r="E15" s="179" t="s">
        <v>146</v>
      </c>
      <c r="F15" s="179" t="s">
        <v>146</v>
      </c>
      <c r="G15" s="179" t="s">
        <v>146</v>
      </c>
      <c r="H15" s="179" t="s">
        <v>146</v>
      </c>
      <c r="I15" s="179" t="s">
        <v>146</v>
      </c>
      <c r="J15" s="179" t="s">
        <v>146</v>
      </c>
      <c r="K15" s="179" t="s">
        <v>146</v>
      </c>
      <c r="L15" s="179" t="s">
        <v>146</v>
      </c>
      <c r="M15" s="179" t="s">
        <v>146</v>
      </c>
      <c r="N15" s="179" t="s">
        <v>146</v>
      </c>
      <c r="O15" s="179" t="s">
        <v>146</v>
      </c>
      <c r="P15" s="179" t="s">
        <v>146</v>
      </c>
      <c r="Q15" s="179" t="s">
        <v>146</v>
      </c>
      <c r="R15" s="179" t="s">
        <v>146</v>
      </c>
      <c r="S15" s="179" t="s">
        <v>146</v>
      </c>
      <c r="T15" s="179" t="s">
        <v>146</v>
      </c>
      <c r="U15" s="179" t="s">
        <v>146</v>
      </c>
      <c r="V15" s="179" t="s">
        <v>146</v>
      </c>
      <c r="W15" s="179" t="s">
        <v>146</v>
      </c>
      <c r="X15" s="179" t="s">
        <v>146</v>
      </c>
      <c r="Y15" s="179" t="s">
        <v>146</v>
      </c>
      <c r="Z15" s="179" t="s">
        <v>146</v>
      </c>
      <c r="AA15" s="179" t="s">
        <v>146</v>
      </c>
      <c r="AB15" s="179" t="s">
        <v>146</v>
      </c>
      <c r="AC15" s="209" t="s">
        <v>146</v>
      </c>
      <c r="AD15" s="102" t="s">
        <v>68</v>
      </c>
    </row>
    <row r="16" spans="1:30" ht="12.75" customHeight="1">
      <c r="A16" s="114"/>
      <c r="B16" s="133" t="s">
        <v>15</v>
      </c>
      <c r="C16" s="204" t="s">
        <v>146</v>
      </c>
      <c r="D16" s="204" t="s">
        <v>146</v>
      </c>
      <c r="E16" s="176" t="s">
        <v>146</v>
      </c>
      <c r="F16" s="176" t="s">
        <v>146</v>
      </c>
      <c r="G16" s="176" t="s">
        <v>146</v>
      </c>
      <c r="H16" s="176" t="s">
        <v>146</v>
      </c>
      <c r="I16" s="176" t="s">
        <v>146</v>
      </c>
      <c r="J16" s="176" t="s">
        <v>146</v>
      </c>
      <c r="K16" s="176" t="s">
        <v>146</v>
      </c>
      <c r="L16" s="176" t="s">
        <v>146</v>
      </c>
      <c r="M16" s="176" t="s">
        <v>146</v>
      </c>
      <c r="N16" s="176" t="s">
        <v>146</v>
      </c>
      <c r="O16" s="176" t="s">
        <v>146</v>
      </c>
      <c r="P16" s="176" t="s">
        <v>146</v>
      </c>
      <c r="Q16" s="176" t="s">
        <v>146</v>
      </c>
      <c r="R16" s="176" t="s">
        <v>146</v>
      </c>
      <c r="S16" s="176" t="s">
        <v>146</v>
      </c>
      <c r="T16" s="176" t="s">
        <v>146</v>
      </c>
      <c r="U16" s="176" t="s">
        <v>146</v>
      </c>
      <c r="V16" s="176" t="s">
        <v>146</v>
      </c>
      <c r="W16" s="176" t="s">
        <v>146</v>
      </c>
      <c r="X16" s="176" t="s">
        <v>146</v>
      </c>
      <c r="Y16" s="176" t="s">
        <v>146</v>
      </c>
      <c r="Z16" s="176" t="s">
        <v>146</v>
      </c>
      <c r="AA16" s="176" t="s">
        <v>146</v>
      </c>
      <c r="AB16" s="176" t="s">
        <v>146</v>
      </c>
      <c r="AC16" s="210" t="s">
        <v>146</v>
      </c>
      <c r="AD16" s="133" t="s">
        <v>15</v>
      </c>
    </row>
    <row r="17" spans="1:30" ht="12.75" customHeight="1">
      <c r="A17" s="114"/>
      <c r="B17" s="102" t="s">
        <v>66</v>
      </c>
      <c r="C17" s="202" t="s">
        <v>146</v>
      </c>
      <c r="D17" s="202" t="s">
        <v>146</v>
      </c>
      <c r="E17" s="179" t="s">
        <v>146</v>
      </c>
      <c r="F17" s="179" t="s">
        <v>146</v>
      </c>
      <c r="G17" s="179" t="s">
        <v>146</v>
      </c>
      <c r="H17" s="179" t="s">
        <v>146</v>
      </c>
      <c r="I17" s="179" t="s">
        <v>146</v>
      </c>
      <c r="J17" s="179" t="s">
        <v>146</v>
      </c>
      <c r="K17" s="179" t="s">
        <v>146</v>
      </c>
      <c r="L17" s="179" t="s">
        <v>146</v>
      </c>
      <c r="M17" s="179" t="s">
        <v>146</v>
      </c>
      <c r="N17" s="179" t="s">
        <v>146</v>
      </c>
      <c r="O17" s="179" t="s">
        <v>146</v>
      </c>
      <c r="P17" s="179" t="s">
        <v>146</v>
      </c>
      <c r="Q17" s="179" t="s">
        <v>146</v>
      </c>
      <c r="R17" s="179" t="s">
        <v>146</v>
      </c>
      <c r="S17" s="179" t="s">
        <v>146</v>
      </c>
      <c r="T17" s="179" t="s">
        <v>146</v>
      </c>
      <c r="U17" s="179" t="s">
        <v>146</v>
      </c>
      <c r="V17" s="179" t="s">
        <v>146</v>
      </c>
      <c r="W17" s="179" t="s">
        <v>146</v>
      </c>
      <c r="X17" s="179" t="s">
        <v>146</v>
      </c>
      <c r="Y17" s="179" t="s">
        <v>146</v>
      </c>
      <c r="Z17" s="179" t="s">
        <v>146</v>
      </c>
      <c r="AA17" s="179" t="s">
        <v>146</v>
      </c>
      <c r="AB17" s="179" t="s">
        <v>146</v>
      </c>
      <c r="AC17" s="209" t="s">
        <v>146</v>
      </c>
      <c r="AD17" s="102" t="s">
        <v>66</v>
      </c>
    </row>
    <row r="18" spans="1:30" ht="12.75" customHeight="1">
      <c r="A18" s="114"/>
      <c r="B18" s="133" t="s">
        <v>67</v>
      </c>
      <c r="C18" s="204">
        <v>12.229</v>
      </c>
      <c r="D18" s="605">
        <v>10.869</v>
      </c>
      <c r="E18" s="176">
        <v>7.581033087</v>
      </c>
      <c r="F18" s="176">
        <v>8.346546523</v>
      </c>
      <c r="G18" s="176">
        <v>8.631432177</v>
      </c>
      <c r="H18" s="176">
        <v>7.684228969</v>
      </c>
      <c r="I18" s="176">
        <v>7.235301561</v>
      </c>
      <c r="J18" s="176">
        <v>6.63</v>
      </c>
      <c r="K18" s="176">
        <v>6.027</v>
      </c>
      <c r="L18" s="176">
        <v>7.058</v>
      </c>
      <c r="M18" s="176">
        <v>7.936</v>
      </c>
      <c r="N18" s="176">
        <v>8.478</v>
      </c>
      <c r="O18" s="176">
        <v>9.11</v>
      </c>
      <c r="P18" s="176">
        <v>8.294</v>
      </c>
      <c r="Q18" s="176">
        <v>8.269</v>
      </c>
      <c r="R18" s="176">
        <v>8.024</v>
      </c>
      <c r="S18" s="176">
        <v>8.416</v>
      </c>
      <c r="T18" s="176">
        <v>8.905</v>
      </c>
      <c r="U18" s="176">
        <v>9.005</v>
      </c>
      <c r="V18" s="176">
        <v>9.208</v>
      </c>
      <c r="W18" s="176">
        <v>8.91</v>
      </c>
      <c r="X18" s="176">
        <v>8.711</v>
      </c>
      <c r="Y18" s="176">
        <v>9.474</v>
      </c>
      <c r="Z18" s="176">
        <v>9.035</v>
      </c>
      <c r="AA18" s="176">
        <v>8.916</v>
      </c>
      <c r="AB18" s="176">
        <v>9.213</v>
      </c>
      <c r="AC18" s="210">
        <f t="shared" si="2"/>
        <v>3.3310901749663344</v>
      </c>
      <c r="AD18" s="133" t="s">
        <v>67</v>
      </c>
    </row>
    <row r="19" spans="1:30" ht="12.75" customHeight="1">
      <c r="A19" s="114"/>
      <c r="B19" s="462" t="s">
        <v>148</v>
      </c>
      <c r="C19" s="463">
        <v>0.3</v>
      </c>
      <c r="D19" s="463">
        <v>0.6</v>
      </c>
      <c r="E19" s="464">
        <v>0.5</v>
      </c>
      <c r="F19" s="464" t="s">
        <v>99</v>
      </c>
      <c r="G19" s="464" t="s">
        <v>99</v>
      </c>
      <c r="H19" s="464" t="s">
        <v>99</v>
      </c>
      <c r="I19" s="464" t="s">
        <v>99</v>
      </c>
      <c r="J19" s="464">
        <v>0.033</v>
      </c>
      <c r="K19" s="464">
        <v>0.022</v>
      </c>
      <c r="L19" s="464">
        <v>0.022</v>
      </c>
      <c r="M19" s="464">
        <v>0.053</v>
      </c>
      <c r="N19" s="464">
        <v>0.052</v>
      </c>
      <c r="O19" s="464">
        <v>0.063536</v>
      </c>
      <c r="P19" s="464">
        <v>0.077484</v>
      </c>
      <c r="Q19" s="464">
        <v>0.089745</v>
      </c>
      <c r="R19" s="464">
        <v>0.1001</v>
      </c>
      <c r="S19" s="464">
        <v>0.1787</v>
      </c>
      <c r="T19" s="464">
        <v>0.1186</v>
      </c>
      <c r="U19" s="464">
        <v>0.1164</v>
      </c>
      <c r="V19" s="606">
        <v>0.109</v>
      </c>
      <c r="W19" s="464">
        <v>0.842</v>
      </c>
      <c r="X19" s="464">
        <v>0.727</v>
      </c>
      <c r="Y19" s="464">
        <v>0.94</v>
      </c>
      <c r="Z19" s="464">
        <v>0.692</v>
      </c>
      <c r="AA19" s="464">
        <v>0.772</v>
      </c>
      <c r="AB19" s="464">
        <v>0.771</v>
      </c>
      <c r="AC19" s="607">
        <f t="shared" si="2"/>
        <v>-0.1295336787564736</v>
      </c>
      <c r="AD19" s="462" t="s">
        <v>148</v>
      </c>
    </row>
    <row r="20" spans="1:30" ht="12.75" customHeight="1">
      <c r="A20" s="114"/>
      <c r="B20" s="133" t="s">
        <v>69</v>
      </c>
      <c r="C20" s="204">
        <v>0.35</v>
      </c>
      <c r="D20" s="204">
        <v>0.203</v>
      </c>
      <c r="E20" s="176">
        <v>0.118</v>
      </c>
      <c r="F20" s="176">
        <v>0.09</v>
      </c>
      <c r="G20" s="176">
        <v>0.07</v>
      </c>
      <c r="H20" s="176">
        <v>0.097</v>
      </c>
      <c r="I20" s="176">
        <v>0.108</v>
      </c>
      <c r="J20" s="176">
        <v>0.135308</v>
      </c>
      <c r="K20" s="176">
        <v>0.125092</v>
      </c>
      <c r="L20" s="176">
        <v>0.201427</v>
      </c>
      <c r="M20" s="176">
        <v>0.126141</v>
      </c>
      <c r="N20" s="176">
        <v>0.177299</v>
      </c>
      <c r="O20" s="176">
        <v>0.169566</v>
      </c>
      <c r="P20" s="176">
        <v>0.161024</v>
      </c>
      <c r="Q20" s="176">
        <v>0.090063</v>
      </c>
      <c r="R20" s="176">
        <v>0.09082</v>
      </c>
      <c r="S20" s="176">
        <v>0.10983</v>
      </c>
      <c r="T20" s="176">
        <v>0.08875</v>
      </c>
      <c r="U20" s="176">
        <v>0.075974</v>
      </c>
      <c r="V20" s="176">
        <v>0.093</v>
      </c>
      <c r="W20" s="176">
        <v>0.064</v>
      </c>
      <c r="X20" s="176">
        <v>0.054</v>
      </c>
      <c r="Y20" s="176">
        <v>0.108</v>
      </c>
      <c r="Z20" s="176">
        <v>0.144</v>
      </c>
      <c r="AA20" s="176">
        <v>0.081</v>
      </c>
      <c r="AB20" s="242">
        <v>0.089</v>
      </c>
      <c r="AC20" s="210">
        <f t="shared" si="2"/>
        <v>9.876543209876544</v>
      </c>
      <c r="AD20" s="133" t="s">
        <v>69</v>
      </c>
    </row>
    <row r="21" spans="1:30" ht="12.75" customHeight="1">
      <c r="A21" s="114"/>
      <c r="B21" s="102" t="s">
        <v>71</v>
      </c>
      <c r="C21" s="212" t="s">
        <v>146</v>
      </c>
      <c r="D21" s="212" t="s">
        <v>146</v>
      </c>
      <c r="E21" s="212" t="s">
        <v>146</v>
      </c>
      <c r="F21" s="177" t="s">
        <v>146</v>
      </c>
      <c r="G21" s="177" t="s">
        <v>146</v>
      </c>
      <c r="H21" s="177" t="s">
        <v>146</v>
      </c>
      <c r="I21" s="177" t="s">
        <v>146</v>
      </c>
      <c r="J21" s="177" t="s">
        <v>146</v>
      </c>
      <c r="K21" s="177" t="s">
        <v>146</v>
      </c>
      <c r="L21" s="177" t="s">
        <v>146</v>
      </c>
      <c r="M21" s="177" t="s">
        <v>146</v>
      </c>
      <c r="N21" s="177" t="s">
        <v>146</v>
      </c>
      <c r="O21" s="177" t="s">
        <v>146</v>
      </c>
      <c r="P21" s="177" t="s">
        <v>146</v>
      </c>
      <c r="Q21" s="177" t="s">
        <v>146</v>
      </c>
      <c r="R21" s="177" t="s">
        <v>146</v>
      </c>
      <c r="S21" s="177" t="s">
        <v>146</v>
      </c>
      <c r="T21" s="177" t="s">
        <v>146</v>
      </c>
      <c r="U21" s="177" t="s">
        <v>146</v>
      </c>
      <c r="V21" s="177" t="s">
        <v>146</v>
      </c>
      <c r="W21" s="177" t="s">
        <v>146</v>
      </c>
      <c r="X21" s="177" t="s">
        <v>146</v>
      </c>
      <c r="Y21" s="177" t="s">
        <v>146</v>
      </c>
      <c r="Z21" s="177" t="s">
        <v>146</v>
      </c>
      <c r="AA21" s="177" t="s">
        <v>146</v>
      </c>
      <c r="AB21" s="241" t="s">
        <v>146</v>
      </c>
      <c r="AC21" s="216" t="s">
        <v>146</v>
      </c>
      <c r="AD21" s="102" t="s">
        <v>71</v>
      </c>
    </row>
    <row r="22" spans="1:30" ht="12.75" customHeight="1">
      <c r="A22" s="114"/>
      <c r="B22" s="133" t="s">
        <v>72</v>
      </c>
      <c r="C22" s="331">
        <v>0.05</v>
      </c>
      <c r="D22" s="331">
        <v>0.09</v>
      </c>
      <c r="E22" s="331" t="s">
        <v>146</v>
      </c>
      <c r="F22" s="176" t="s">
        <v>146</v>
      </c>
      <c r="G22" s="176" t="s">
        <v>146</v>
      </c>
      <c r="H22" s="176" t="s">
        <v>146</v>
      </c>
      <c r="I22" s="176" t="s">
        <v>146</v>
      </c>
      <c r="J22" s="176" t="s">
        <v>146</v>
      </c>
      <c r="K22" s="176" t="s">
        <v>146</v>
      </c>
      <c r="L22" s="176" t="s">
        <v>146</v>
      </c>
      <c r="M22" s="176" t="s">
        <v>146</v>
      </c>
      <c r="N22" s="176" t="s">
        <v>146</v>
      </c>
      <c r="O22" s="176" t="s">
        <v>146</v>
      </c>
      <c r="P22" s="176" t="s">
        <v>146</v>
      </c>
      <c r="Q22" s="176" t="s">
        <v>146</v>
      </c>
      <c r="R22" s="176" t="s">
        <v>146</v>
      </c>
      <c r="S22" s="176" t="s">
        <v>146</v>
      </c>
      <c r="T22" s="176" t="s">
        <v>146</v>
      </c>
      <c r="U22" s="176" t="s">
        <v>146</v>
      </c>
      <c r="V22" s="176" t="s">
        <v>146</v>
      </c>
      <c r="W22" s="176" t="s">
        <v>146</v>
      </c>
      <c r="X22" s="176" t="s">
        <v>146</v>
      </c>
      <c r="Y22" s="176" t="s">
        <v>146</v>
      </c>
      <c r="Z22" s="176" t="s">
        <v>146</v>
      </c>
      <c r="AA22" s="176" t="s">
        <v>146</v>
      </c>
      <c r="AB22" s="242" t="s">
        <v>146</v>
      </c>
      <c r="AC22" s="210" t="s">
        <v>146</v>
      </c>
      <c r="AD22" s="133" t="s">
        <v>72</v>
      </c>
    </row>
    <row r="23" spans="1:30" ht="12.75" customHeight="1">
      <c r="A23" s="114"/>
      <c r="B23" s="102" t="s">
        <v>73</v>
      </c>
      <c r="C23" s="212">
        <v>0.12</v>
      </c>
      <c r="D23" s="212">
        <v>0.15</v>
      </c>
      <c r="E23" s="212">
        <v>0.164</v>
      </c>
      <c r="F23" s="177">
        <v>0.141</v>
      </c>
      <c r="G23" s="177">
        <v>0.045</v>
      </c>
      <c r="H23" s="177">
        <v>0.05</v>
      </c>
      <c r="I23" s="177">
        <v>0.03</v>
      </c>
      <c r="J23" s="177">
        <v>0.018</v>
      </c>
      <c r="K23" s="177">
        <v>0.007</v>
      </c>
      <c r="L23" s="177">
        <v>0.009</v>
      </c>
      <c r="M23" s="177">
        <v>0.014</v>
      </c>
      <c r="N23" s="177">
        <v>0.003</v>
      </c>
      <c r="O23" s="177">
        <v>0.0014835999999999998</v>
      </c>
      <c r="P23" s="177">
        <v>0.0005356000000000001</v>
      </c>
      <c r="Q23" s="177">
        <v>0.000515</v>
      </c>
      <c r="R23" s="177">
        <v>0.0006651999999999999</v>
      </c>
      <c r="S23" s="177">
        <v>0.000621</v>
      </c>
      <c r="T23" s="177">
        <v>0.0013244</v>
      </c>
      <c r="U23" s="177">
        <v>0.0017951</v>
      </c>
      <c r="V23" s="177">
        <v>0.01</v>
      </c>
      <c r="W23" s="177">
        <v>0.012</v>
      </c>
      <c r="X23" s="177">
        <v>0.003</v>
      </c>
      <c r="Y23" s="177">
        <v>0.003</v>
      </c>
      <c r="Z23" s="177">
        <v>0.003</v>
      </c>
      <c r="AA23" s="177">
        <v>0.001</v>
      </c>
      <c r="AB23" s="241">
        <v>0</v>
      </c>
      <c r="AC23" s="216" t="s">
        <v>146</v>
      </c>
      <c r="AD23" s="102" t="s">
        <v>73</v>
      </c>
    </row>
    <row r="24" spans="1:30" ht="12.75" customHeight="1">
      <c r="A24" s="114"/>
      <c r="B24" s="133" t="s">
        <v>76</v>
      </c>
      <c r="C24" s="331">
        <v>0.302</v>
      </c>
      <c r="D24" s="331">
        <v>0.331</v>
      </c>
      <c r="E24" s="331">
        <v>0.362297836</v>
      </c>
      <c r="F24" s="176">
        <v>0.340424046</v>
      </c>
      <c r="G24" s="176">
        <v>0.338</v>
      </c>
      <c r="H24" s="176">
        <v>0.323</v>
      </c>
      <c r="I24" s="176">
        <v>0.317</v>
      </c>
      <c r="J24" s="176">
        <v>0.338</v>
      </c>
      <c r="K24" s="176">
        <v>0.321</v>
      </c>
      <c r="L24" s="176">
        <v>0.356</v>
      </c>
      <c r="M24" s="176">
        <v>0.369</v>
      </c>
      <c r="N24" s="176">
        <v>0.351</v>
      </c>
      <c r="O24" s="176">
        <v>0.378</v>
      </c>
      <c r="P24" s="176">
        <v>0.371</v>
      </c>
      <c r="Q24" s="176">
        <v>0.37</v>
      </c>
      <c r="R24" s="176">
        <v>0.316</v>
      </c>
      <c r="S24" s="176">
        <v>0.37</v>
      </c>
      <c r="T24" s="176">
        <v>0.342</v>
      </c>
      <c r="U24" s="176">
        <v>0.381</v>
      </c>
      <c r="V24" s="176">
        <v>0.345</v>
      </c>
      <c r="W24" s="176">
        <v>0.367</v>
      </c>
      <c r="X24" s="176">
        <v>0.279</v>
      </c>
      <c r="Y24" s="176">
        <v>0.359</v>
      </c>
      <c r="Z24" s="176">
        <v>0.305</v>
      </c>
      <c r="AA24" s="176">
        <v>0.29</v>
      </c>
      <c r="AB24" s="242">
        <v>0.313</v>
      </c>
      <c r="AC24" s="210">
        <f t="shared" si="2"/>
        <v>7.931034482758619</v>
      </c>
      <c r="AD24" s="133" t="s">
        <v>76</v>
      </c>
    </row>
    <row r="25" spans="1:30" ht="12.75" customHeight="1">
      <c r="A25" s="114"/>
      <c r="B25" s="102" t="s">
        <v>77</v>
      </c>
      <c r="C25" s="212">
        <v>1.76</v>
      </c>
      <c r="D25" s="212">
        <v>2.15</v>
      </c>
      <c r="E25" s="212">
        <v>2.04</v>
      </c>
      <c r="F25" s="177">
        <v>1.72</v>
      </c>
      <c r="G25" s="177">
        <v>1.6</v>
      </c>
      <c r="H25" s="177">
        <v>1.62</v>
      </c>
      <c r="I25" s="177">
        <v>1.35</v>
      </c>
      <c r="J25" s="177">
        <v>1.211</v>
      </c>
      <c r="K25" s="177">
        <v>1.397</v>
      </c>
      <c r="L25" s="177">
        <v>1.441</v>
      </c>
      <c r="M25" s="177">
        <v>1.56</v>
      </c>
      <c r="N25" s="177">
        <v>0.958</v>
      </c>
      <c r="O25" s="177">
        <v>0.891</v>
      </c>
      <c r="P25" s="177">
        <v>1.087</v>
      </c>
      <c r="Q25" s="177">
        <v>1.407</v>
      </c>
      <c r="R25" s="177">
        <v>1.517</v>
      </c>
      <c r="S25" s="177">
        <v>1.904</v>
      </c>
      <c r="T25" s="177">
        <v>2.11</v>
      </c>
      <c r="U25" s="177">
        <v>1.913</v>
      </c>
      <c r="V25" s="177">
        <v>2.212</v>
      </c>
      <c r="W25" s="177">
        <v>2.25</v>
      </c>
      <c r="X25" s="177">
        <v>1.831</v>
      </c>
      <c r="Y25" s="177">
        <v>2.393</v>
      </c>
      <c r="Z25" s="177">
        <v>1.84</v>
      </c>
      <c r="AA25" s="177">
        <v>1.982</v>
      </c>
      <c r="AB25" s="241">
        <v>1.924</v>
      </c>
      <c r="AC25" s="216">
        <f t="shared" si="2"/>
        <v>-2.9263370332997027</v>
      </c>
      <c r="AD25" s="102" t="s">
        <v>77</v>
      </c>
    </row>
    <row r="26" spans="1:30" ht="12.75" customHeight="1">
      <c r="A26" s="114"/>
      <c r="B26" s="133" t="s">
        <v>78</v>
      </c>
      <c r="C26" s="450" t="s">
        <v>146</v>
      </c>
      <c r="D26" s="450" t="s">
        <v>146</v>
      </c>
      <c r="E26" s="450" t="s">
        <v>146</v>
      </c>
      <c r="F26" s="175" t="s">
        <v>146</v>
      </c>
      <c r="G26" s="175" t="s">
        <v>146</v>
      </c>
      <c r="H26" s="175" t="s">
        <v>146</v>
      </c>
      <c r="I26" s="175" t="s">
        <v>146</v>
      </c>
      <c r="J26" s="175" t="s">
        <v>146</v>
      </c>
      <c r="K26" s="175" t="s">
        <v>146</v>
      </c>
      <c r="L26" s="175" t="s">
        <v>146</v>
      </c>
      <c r="M26" s="175" t="s">
        <v>146</v>
      </c>
      <c r="N26" s="175" t="s">
        <v>146</v>
      </c>
      <c r="O26" s="175" t="s">
        <v>146</v>
      </c>
      <c r="P26" s="175" t="s">
        <v>146</v>
      </c>
      <c r="Q26" s="175" t="s">
        <v>146</v>
      </c>
      <c r="R26" s="175" t="s">
        <v>146</v>
      </c>
      <c r="S26" s="175" t="s">
        <v>146</v>
      </c>
      <c r="T26" s="175" t="s">
        <v>146</v>
      </c>
      <c r="U26" s="175" t="s">
        <v>146</v>
      </c>
      <c r="V26" s="175" t="s">
        <v>146</v>
      </c>
      <c r="W26" s="175" t="s">
        <v>146</v>
      </c>
      <c r="X26" s="175" t="s">
        <v>146</v>
      </c>
      <c r="Y26" s="175" t="s">
        <v>146</v>
      </c>
      <c r="Z26" s="175" t="s">
        <v>146</v>
      </c>
      <c r="AA26" s="175" t="s">
        <v>146</v>
      </c>
      <c r="AB26" s="451" t="s">
        <v>146</v>
      </c>
      <c r="AC26" s="205" t="s">
        <v>146</v>
      </c>
      <c r="AD26" s="133" t="s">
        <v>78</v>
      </c>
    </row>
    <row r="27" spans="1:30" ht="12.75" customHeight="1">
      <c r="A27" s="114"/>
      <c r="B27" s="102" t="s">
        <v>16</v>
      </c>
      <c r="C27" s="212">
        <v>30.618</v>
      </c>
      <c r="D27" s="212">
        <v>33.479</v>
      </c>
      <c r="E27" s="212">
        <v>35.661</v>
      </c>
      <c r="F27" s="177">
        <v>34.755</v>
      </c>
      <c r="G27" s="177">
        <v>33.53</v>
      </c>
      <c r="H27" s="177">
        <v>32.058</v>
      </c>
      <c r="I27" s="177">
        <v>36.011</v>
      </c>
      <c r="J27" s="177">
        <v>35.457</v>
      </c>
      <c r="K27" s="177">
        <v>35.513</v>
      </c>
      <c r="L27" s="177">
        <v>40.986</v>
      </c>
      <c r="M27" s="177">
        <v>40.683</v>
      </c>
      <c r="N27" s="177">
        <v>41.428</v>
      </c>
      <c r="O27" s="177">
        <v>41.271</v>
      </c>
      <c r="P27" s="177">
        <v>41.793</v>
      </c>
      <c r="Q27" s="177">
        <v>40.983</v>
      </c>
      <c r="R27" s="177">
        <v>39.031</v>
      </c>
      <c r="S27" s="177">
        <v>43.049</v>
      </c>
      <c r="T27" s="177">
        <v>42.233</v>
      </c>
      <c r="U27" s="177">
        <v>42.215</v>
      </c>
      <c r="V27" s="177">
        <v>45.995</v>
      </c>
      <c r="W27" s="177">
        <v>45.296</v>
      </c>
      <c r="X27" s="177">
        <v>35.656</v>
      </c>
      <c r="Y27" s="177">
        <v>46.562</v>
      </c>
      <c r="Z27" s="177">
        <v>46.462</v>
      </c>
      <c r="AA27" s="177">
        <v>47.533</v>
      </c>
      <c r="AB27" s="241">
        <v>48.627</v>
      </c>
      <c r="AC27" s="216">
        <f t="shared" si="2"/>
        <v>2.3015589169629607</v>
      </c>
      <c r="AD27" s="102" t="s">
        <v>16</v>
      </c>
    </row>
    <row r="28" spans="1:30" ht="12.75" customHeight="1">
      <c r="A28" s="114"/>
      <c r="B28" s="133" t="s">
        <v>81</v>
      </c>
      <c r="C28" s="331">
        <v>1.293</v>
      </c>
      <c r="D28" s="331">
        <v>1.557</v>
      </c>
      <c r="E28" s="331">
        <v>1.663</v>
      </c>
      <c r="F28" s="176">
        <v>1.48</v>
      </c>
      <c r="G28" s="176">
        <v>1.437</v>
      </c>
      <c r="H28" s="176">
        <v>1.454</v>
      </c>
      <c r="I28" s="176">
        <v>1.82</v>
      </c>
      <c r="J28" s="176">
        <v>2.046</v>
      </c>
      <c r="K28" s="176">
        <v>2.101</v>
      </c>
      <c r="L28" s="176">
        <v>2.087</v>
      </c>
      <c r="M28" s="176">
        <v>2.28</v>
      </c>
      <c r="N28" s="176">
        <v>2.231</v>
      </c>
      <c r="O28" s="175">
        <v>2.444</v>
      </c>
      <c r="P28" s="175">
        <v>2.557</v>
      </c>
      <c r="Q28" s="175">
        <v>2.846</v>
      </c>
      <c r="R28" s="175">
        <v>2.276</v>
      </c>
      <c r="S28" s="176">
        <v>1.747</v>
      </c>
      <c r="T28" s="176">
        <v>1.753</v>
      </c>
      <c r="U28" s="176">
        <v>1.837</v>
      </c>
      <c r="V28" s="176">
        <v>2.597</v>
      </c>
      <c r="W28" s="176">
        <v>2.359</v>
      </c>
      <c r="X28" s="176">
        <v>2.003</v>
      </c>
      <c r="Y28" s="176">
        <v>2.375</v>
      </c>
      <c r="Z28" s="176">
        <v>2.123</v>
      </c>
      <c r="AA28" s="176">
        <v>2.191</v>
      </c>
      <c r="AB28" s="242">
        <v>2.353</v>
      </c>
      <c r="AC28" s="210">
        <f t="shared" si="2"/>
        <v>7.3938840712003895</v>
      </c>
      <c r="AD28" s="133" t="s">
        <v>81</v>
      </c>
    </row>
    <row r="29" spans="1:30" ht="12.75" customHeight="1">
      <c r="A29" s="114"/>
      <c r="B29" s="462" t="s">
        <v>80</v>
      </c>
      <c r="C29" s="463">
        <v>2.3</v>
      </c>
      <c r="D29" s="463">
        <v>2.33</v>
      </c>
      <c r="E29" s="464">
        <v>1.034</v>
      </c>
      <c r="F29" s="464">
        <v>0.74</v>
      </c>
      <c r="G29" s="464">
        <v>0.75</v>
      </c>
      <c r="H29" s="464">
        <v>0.66</v>
      </c>
      <c r="I29" s="464">
        <v>0.79</v>
      </c>
      <c r="J29" s="464">
        <v>0.88</v>
      </c>
      <c r="K29" s="464">
        <v>0.85</v>
      </c>
      <c r="L29" s="464">
        <v>0.93</v>
      </c>
      <c r="M29" s="464">
        <v>1.1</v>
      </c>
      <c r="N29" s="464">
        <v>1.028</v>
      </c>
      <c r="O29" s="464">
        <v>1.173</v>
      </c>
      <c r="P29" s="464">
        <v>1.264</v>
      </c>
      <c r="Q29" s="464">
        <v>1.126</v>
      </c>
      <c r="R29" s="606">
        <v>0.872</v>
      </c>
      <c r="S29" s="464">
        <v>0.37</v>
      </c>
      <c r="T29" s="464">
        <v>0.327</v>
      </c>
      <c r="U29" s="464">
        <v>0.289</v>
      </c>
      <c r="V29" s="464">
        <v>0.277</v>
      </c>
      <c r="W29" s="464">
        <v>0.277</v>
      </c>
      <c r="X29" s="464">
        <v>0.202</v>
      </c>
      <c r="Y29" s="464">
        <v>0.13</v>
      </c>
      <c r="Z29" s="464">
        <v>0.161</v>
      </c>
      <c r="AA29" s="464">
        <v>0.131</v>
      </c>
      <c r="AB29" s="544">
        <v>0.091</v>
      </c>
      <c r="AC29" s="607">
        <f t="shared" si="2"/>
        <v>-30.534351145038173</v>
      </c>
      <c r="AD29" s="462" t="s">
        <v>80</v>
      </c>
    </row>
    <row r="30" spans="1:30" ht="12.75" customHeight="1">
      <c r="A30" s="114"/>
      <c r="B30" s="133" t="s">
        <v>92</v>
      </c>
      <c r="C30" s="450" t="s">
        <v>146</v>
      </c>
      <c r="D30" s="450" t="s">
        <v>146</v>
      </c>
      <c r="E30" s="450" t="s">
        <v>146</v>
      </c>
      <c r="F30" s="175" t="s">
        <v>146</v>
      </c>
      <c r="G30" s="175" t="s">
        <v>146</v>
      </c>
      <c r="H30" s="175" t="s">
        <v>146</v>
      </c>
      <c r="I30" s="175" t="s">
        <v>146</v>
      </c>
      <c r="J30" s="175" t="s">
        <v>146</v>
      </c>
      <c r="K30" s="175" t="s">
        <v>146</v>
      </c>
      <c r="L30" s="175" t="s">
        <v>146</v>
      </c>
      <c r="M30" s="175" t="s">
        <v>146</v>
      </c>
      <c r="N30" s="175" t="s">
        <v>146</v>
      </c>
      <c r="O30" s="175" t="s">
        <v>146</v>
      </c>
      <c r="P30" s="175" t="s">
        <v>146</v>
      </c>
      <c r="Q30" s="175" t="s">
        <v>146</v>
      </c>
      <c r="R30" s="175" t="s">
        <v>146</v>
      </c>
      <c r="S30" s="175" t="s">
        <v>146</v>
      </c>
      <c r="T30" s="175" t="s">
        <v>146</v>
      </c>
      <c r="U30" s="175" t="s">
        <v>146</v>
      </c>
      <c r="V30" s="175" t="s">
        <v>146</v>
      </c>
      <c r="W30" s="175" t="s">
        <v>146</v>
      </c>
      <c r="X30" s="175" t="s">
        <v>146</v>
      </c>
      <c r="Y30" s="175" t="s">
        <v>146</v>
      </c>
      <c r="Z30" s="175" t="s">
        <v>146</v>
      </c>
      <c r="AA30" s="175" t="s">
        <v>146</v>
      </c>
      <c r="AB30" s="451" t="s">
        <v>146</v>
      </c>
      <c r="AC30" s="205" t="s">
        <v>146</v>
      </c>
      <c r="AD30" s="133" t="s">
        <v>92</v>
      </c>
    </row>
    <row r="31" spans="1:30" ht="12.75" customHeight="1">
      <c r="A31" s="114"/>
      <c r="B31" s="462" t="s">
        <v>102</v>
      </c>
      <c r="C31" s="463">
        <v>1.35</v>
      </c>
      <c r="D31" s="463">
        <v>2.35</v>
      </c>
      <c r="E31" s="464">
        <v>2.09</v>
      </c>
      <c r="F31" s="464">
        <v>2.03</v>
      </c>
      <c r="G31" s="464">
        <v>1.89</v>
      </c>
      <c r="H31" s="464">
        <v>1.59</v>
      </c>
      <c r="I31" s="464">
        <v>1.9</v>
      </c>
      <c r="J31" s="464">
        <v>3.11</v>
      </c>
      <c r="K31" s="464">
        <v>3.77</v>
      </c>
      <c r="L31" s="464">
        <v>4.33</v>
      </c>
      <c r="M31" s="464">
        <v>4.203</v>
      </c>
      <c r="N31" s="464">
        <v>2.802</v>
      </c>
      <c r="O31" s="606">
        <v>2.634</v>
      </c>
      <c r="P31" s="464">
        <v>2.746</v>
      </c>
      <c r="Q31" s="464">
        <v>3.641</v>
      </c>
      <c r="R31" s="606">
        <v>3.521</v>
      </c>
      <c r="S31" s="464">
        <v>6.955</v>
      </c>
      <c r="T31" s="464">
        <v>8.435</v>
      </c>
      <c r="U31" s="464">
        <v>8.157</v>
      </c>
      <c r="V31" s="464">
        <v>8.195</v>
      </c>
      <c r="W31" s="606">
        <v>8.687</v>
      </c>
      <c r="X31" s="464">
        <v>11.765</v>
      </c>
      <c r="Y31" s="464">
        <v>14.317</v>
      </c>
      <c r="Z31" s="464">
        <v>11.409</v>
      </c>
      <c r="AA31" s="464">
        <v>12.52</v>
      </c>
      <c r="AB31" s="544">
        <v>12.242</v>
      </c>
      <c r="AC31" s="607">
        <f t="shared" si="2"/>
        <v>-2.220447284345042</v>
      </c>
      <c r="AD31" s="462" t="s">
        <v>102</v>
      </c>
    </row>
    <row r="32" spans="1:30" ht="12.75" customHeight="1">
      <c r="A32" s="114"/>
      <c r="B32" s="133" t="s">
        <v>83</v>
      </c>
      <c r="C32" s="450" t="s">
        <v>146</v>
      </c>
      <c r="D32" s="450" t="s">
        <v>146</v>
      </c>
      <c r="E32" s="450" t="s">
        <v>146</v>
      </c>
      <c r="F32" s="175" t="s">
        <v>146</v>
      </c>
      <c r="G32" s="175" t="s">
        <v>146</v>
      </c>
      <c r="H32" s="175" t="s">
        <v>146</v>
      </c>
      <c r="I32" s="175" t="s">
        <v>146</v>
      </c>
      <c r="J32" s="175" t="s">
        <v>146</v>
      </c>
      <c r="K32" s="175" t="s">
        <v>146</v>
      </c>
      <c r="L32" s="175" t="s">
        <v>146</v>
      </c>
      <c r="M32" s="175" t="s">
        <v>146</v>
      </c>
      <c r="N32" s="175" t="s">
        <v>146</v>
      </c>
      <c r="O32" s="175" t="s">
        <v>146</v>
      </c>
      <c r="P32" s="175" t="s">
        <v>146</v>
      </c>
      <c r="Q32" s="175" t="s">
        <v>146</v>
      </c>
      <c r="R32" s="175" t="s">
        <v>146</v>
      </c>
      <c r="S32" s="175" t="s">
        <v>146</v>
      </c>
      <c r="T32" s="175" t="s">
        <v>146</v>
      </c>
      <c r="U32" s="175" t="s">
        <v>146</v>
      </c>
      <c r="V32" s="175" t="s">
        <v>146</v>
      </c>
      <c r="W32" s="175" t="s">
        <v>146</v>
      </c>
      <c r="X32" s="175" t="s">
        <v>146</v>
      </c>
      <c r="Y32" s="175" t="s">
        <v>146</v>
      </c>
      <c r="Z32" s="175" t="s">
        <v>146</v>
      </c>
      <c r="AA32" s="175" t="s">
        <v>146</v>
      </c>
      <c r="AB32" s="451" t="s">
        <v>146</v>
      </c>
      <c r="AC32" s="205" t="s">
        <v>146</v>
      </c>
      <c r="AD32" s="133" t="s">
        <v>83</v>
      </c>
    </row>
    <row r="33" spans="1:30" ht="12.75" customHeight="1">
      <c r="A33" s="114"/>
      <c r="B33" s="462" t="s">
        <v>85</v>
      </c>
      <c r="C33" s="463"/>
      <c r="D33" s="463"/>
      <c r="E33" s="464"/>
      <c r="F33" s="464"/>
      <c r="G33" s="464"/>
      <c r="H33" s="464"/>
      <c r="I33" s="464">
        <v>0.8461</v>
      </c>
      <c r="J33" s="464">
        <v>1.4682</v>
      </c>
      <c r="K33" s="464">
        <v>1.5979</v>
      </c>
      <c r="L33" s="464">
        <v>1.5193</v>
      </c>
      <c r="M33" s="464">
        <v>1.5269</v>
      </c>
      <c r="N33" s="464">
        <v>1.6626</v>
      </c>
      <c r="O33" s="464">
        <v>1.3793</v>
      </c>
      <c r="P33" s="464">
        <v>0.9952</v>
      </c>
      <c r="Q33" s="464">
        <v>0.5997</v>
      </c>
      <c r="R33" s="464">
        <v>0.5225</v>
      </c>
      <c r="S33" s="464">
        <v>0.741</v>
      </c>
      <c r="T33" s="464">
        <v>0.7403</v>
      </c>
      <c r="U33" s="464">
        <v>0.6488</v>
      </c>
      <c r="V33" s="464">
        <v>1.004</v>
      </c>
      <c r="W33" s="464">
        <v>1.101</v>
      </c>
      <c r="X33" s="464">
        <v>0.899</v>
      </c>
      <c r="Y33" s="464">
        <v>1.189</v>
      </c>
      <c r="Z33" s="464">
        <v>0.931</v>
      </c>
      <c r="AA33" s="464">
        <v>0.986</v>
      </c>
      <c r="AB33" s="544">
        <v>1.006</v>
      </c>
      <c r="AC33" s="607">
        <f t="shared" si="2"/>
        <v>2.02839756592293</v>
      </c>
      <c r="AD33" s="462" t="s">
        <v>85</v>
      </c>
    </row>
    <row r="34" spans="1:30" ht="12.75" customHeight="1">
      <c r="A34" s="114"/>
      <c r="B34" s="133" t="s">
        <v>87</v>
      </c>
      <c r="C34" s="331">
        <v>2</v>
      </c>
      <c r="D34" s="331">
        <v>1.8</v>
      </c>
      <c r="E34" s="331">
        <v>1.1</v>
      </c>
      <c r="F34" s="176">
        <v>0.8</v>
      </c>
      <c r="G34" s="176">
        <v>0.5</v>
      </c>
      <c r="H34" s="176">
        <v>0.4</v>
      </c>
      <c r="I34" s="215">
        <v>0.3</v>
      </c>
      <c r="J34" s="176">
        <v>0.077</v>
      </c>
      <c r="K34" s="176">
        <v>0.1</v>
      </c>
      <c r="L34" s="176">
        <v>0.1</v>
      </c>
      <c r="M34" s="176">
        <v>0.118</v>
      </c>
      <c r="N34" s="176">
        <v>0.118</v>
      </c>
      <c r="O34" s="176">
        <v>0.118</v>
      </c>
      <c r="P34" s="176">
        <v>0.101</v>
      </c>
      <c r="Q34" s="176">
        <v>0.112</v>
      </c>
      <c r="R34" s="176">
        <v>0.109</v>
      </c>
      <c r="S34" s="176">
        <v>0.118</v>
      </c>
      <c r="T34" s="176">
        <v>0.075</v>
      </c>
      <c r="U34" s="176">
        <v>0.066</v>
      </c>
      <c r="V34" s="176">
        <v>0.102</v>
      </c>
      <c r="W34" s="176">
        <v>0.08</v>
      </c>
      <c r="X34" s="176">
        <v>0.061</v>
      </c>
      <c r="Y34" s="176">
        <v>0.076</v>
      </c>
      <c r="Z34" s="176">
        <v>0.09</v>
      </c>
      <c r="AA34" s="176">
        <v>0.124</v>
      </c>
      <c r="AB34" s="242">
        <v>0.121</v>
      </c>
      <c r="AC34" s="210">
        <f t="shared" si="2"/>
        <v>-2.4193548387096797</v>
      </c>
      <c r="AD34" s="133" t="s">
        <v>87</v>
      </c>
    </row>
    <row r="35" spans="1:30" ht="12.75" customHeight="1">
      <c r="A35" s="114"/>
      <c r="B35" s="462" t="s">
        <v>88</v>
      </c>
      <c r="C35" s="463" t="s">
        <v>146</v>
      </c>
      <c r="D35" s="463" t="s">
        <v>146</v>
      </c>
      <c r="E35" s="464" t="s">
        <v>146</v>
      </c>
      <c r="F35" s="464" t="s">
        <v>146</v>
      </c>
      <c r="G35" s="464" t="s">
        <v>146</v>
      </c>
      <c r="H35" s="464" t="s">
        <v>146</v>
      </c>
      <c r="I35" s="464" t="s">
        <v>146</v>
      </c>
      <c r="J35" s="464" t="s">
        <v>146</v>
      </c>
      <c r="K35" s="464" t="s">
        <v>146</v>
      </c>
      <c r="L35" s="464" t="s">
        <v>146</v>
      </c>
      <c r="M35" s="464" t="s">
        <v>146</v>
      </c>
      <c r="N35" s="464" t="s">
        <v>146</v>
      </c>
      <c r="O35" s="464" t="s">
        <v>146</v>
      </c>
      <c r="P35" s="464" t="s">
        <v>146</v>
      </c>
      <c r="Q35" s="464" t="s">
        <v>146</v>
      </c>
      <c r="R35" s="464" t="s">
        <v>146</v>
      </c>
      <c r="S35" s="464" t="s">
        <v>146</v>
      </c>
      <c r="T35" s="464" t="s">
        <v>146</v>
      </c>
      <c r="U35" s="464" t="s">
        <v>146</v>
      </c>
      <c r="V35" s="464" t="s">
        <v>146</v>
      </c>
      <c r="W35" s="464" t="s">
        <v>146</v>
      </c>
      <c r="X35" s="464" t="s">
        <v>146</v>
      </c>
      <c r="Y35" s="464" t="s">
        <v>146</v>
      </c>
      <c r="Z35" s="464" t="s">
        <v>146</v>
      </c>
      <c r="AA35" s="464" t="s">
        <v>146</v>
      </c>
      <c r="AB35" s="544" t="s">
        <v>146</v>
      </c>
      <c r="AC35" s="607" t="s">
        <v>146</v>
      </c>
      <c r="AD35" s="462" t="s">
        <v>88</v>
      </c>
    </row>
    <row r="36" spans="1:30" ht="12.75" customHeight="1">
      <c r="A36" s="114"/>
      <c r="B36" s="294" t="s">
        <v>13</v>
      </c>
      <c r="C36" s="466">
        <v>0.3</v>
      </c>
      <c r="D36" s="466">
        <v>0.4</v>
      </c>
      <c r="E36" s="332">
        <v>0.3</v>
      </c>
      <c r="F36" s="332">
        <v>0.2</v>
      </c>
      <c r="G36" s="332">
        <v>0.19</v>
      </c>
      <c r="H36" s="332">
        <v>0.2</v>
      </c>
      <c r="I36" s="332">
        <v>0.2</v>
      </c>
      <c r="J36" s="332">
        <v>0.2</v>
      </c>
      <c r="K36" s="332">
        <v>0.18</v>
      </c>
      <c r="L36" s="332">
        <v>0.15</v>
      </c>
      <c r="M36" s="332">
        <v>0.15</v>
      </c>
      <c r="N36" s="332">
        <v>0.16</v>
      </c>
      <c r="O36" s="332">
        <v>0.21</v>
      </c>
      <c r="P36" s="332">
        <v>0.19</v>
      </c>
      <c r="Q36" s="332">
        <v>0.18</v>
      </c>
      <c r="R36" s="332">
        <v>0.18</v>
      </c>
      <c r="S36" s="332">
        <v>0.15</v>
      </c>
      <c r="T36" s="332">
        <v>0.17</v>
      </c>
      <c r="U36" s="480">
        <v>0.16</v>
      </c>
      <c r="V36" s="332">
        <v>0.162</v>
      </c>
      <c r="W36" s="332">
        <v>0.164</v>
      </c>
      <c r="X36" s="332">
        <v>0.133</v>
      </c>
      <c r="Y36" s="332">
        <v>0.156</v>
      </c>
      <c r="Z36" s="332">
        <v>0.144</v>
      </c>
      <c r="AA36" s="332">
        <v>0.165</v>
      </c>
      <c r="AB36" s="333">
        <v>0.165</v>
      </c>
      <c r="AC36" s="608">
        <f t="shared" si="2"/>
        <v>0</v>
      </c>
      <c r="AD36" s="294" t="s">
        <v>13</v>
      </c>
    </row>
    <row r="37" spans="1:30" ht="12.75" customHeight="1">
      <c r="A37" s="114"/>
      <c r="B37" s="522" t="s">
        <v>310</v>
      </c>
      <c r="C37" s="609" t="s">
        <v>146</v>
      </c>
      <c r="D37" s="609" t="s">
        <v>146</v>
      </c>
      <c r="E37" s="547" t="s">
        <v>146</v>
      </c>
      <c r="F37" s="547" t="s">
        <v>146</v>
      </c>
      <c r="G37" s="547" t="s">
        <v>146</v>
      </c>
      <c r="H37" s="547" t="s">
        <v>146</v>
      </c>
      <c r="I37" s="547" t="s">
        <v>146</v>
      </c>
      <c r="J37" s="547" t="s">
        <v>146</v>
      </c>
      <c r="K37" s="547" t="s">
        <v>146</v>
      </c>
      <c r="L37" s="547" t="s">
        <v>146</v>
      </c>
      <c r="M37" s="547" t="s">
        <v>146</v>
      </c>
      <c r="N37" s="547" t="s">
        <v>146</v>
      </c>
      <c r="O37" s="547" t="s">
        <v>146</v>
      </c>
      <c r="P37" s="547" t="s">
        <v>146</v>
      </c>
      <c r="Q37" s="547" t="s">
        <v>146</v>
      </c>
      <c r="R37" s="547" t="s">
        <v>146</v>
      </c>
      <c r="S37" s="547" t="s">
        <v>146</v>
      </c>
      <c r="T37" s="547" t="s">
        <v>146</v>
      </c>
      <c r="U37" s="547" t="s">
        <v>146</v>
      </c>
      <c r="V37" s="547" t="s">
        <v>146</v>
      </c>
      <c r="W37" s="547" t="s">
        <v>146</v>
      </c>
      <c r="X37" s="547" t="s">
        <v>146</v>
      </c>
      <c r="Y37" s="547" t="s">
        <v>146</v>
      </c>
      <c r="Z37" s="547" t="s">
        <v>146</v>
      </c>
      <c r="AA37" s="547" t="s">
        <v>146</v>
      </c>
      <c r="AB37" s="547" t="s">
        <v>146</v>
      </c>
      <c r="AC37" s="610" t="s">
        <v>146</v>
      </c>
      <c r="AD37" s="522" t="s">
        <v>310</v>
      </c>
    </row>
    <row r="38" spans="1:30" ht="12.75" customHeight="1">
      <c r="A38" s="114"/>
      <c r="B38" s="102" t="s">
        <v>244</v>
      </c>
      <c r="C38" s="211" t="s">
        <v>146</v>
      </c>
      <c r="D38" s="211" t="s">
        <v>146</v>
      </c>
      <c r="E38" s="177" t="s">
        <v>146</v>
      </c>
      <c r="F38" s="177" t="s">
        <v>146</v>
      </c>
      <c r="G38" s="177" t="s">
        <v>146</v>
      </c>
      <c r="H38" s="177" t="s">
        <v>146</v>
      </c>
      <c r="I38" s="177" t="s">
        <v>146</v>
      </c>
      <c r="J38" s="177" t="s">
        <v>146</v>
      </c>
      <c r="K38" s="177"/>
      <c r="L38" s="177"/>
      <c r="M38" s="177"/>
      <c r="N38" s="177"/>
      <c r="O38" s="177" t="s">
        <v>146</v>
      </c>
      <c r="P38" s="177" t="s">
        <v>146</v>
      </c>
      <c r="Q38" s="177" t="s">
        <v>146</v>
      </c>
      <c r="R38" s="177" t="s">
        <v>146</v>
      </c>
      <c r="S38" s="177" t="s">
        <v>146</v>
      </c>
      <c r="T38" s="177" t="s">
        <v>146</v>
      </c>
      <c r="U38" s="177" t="s">
        <v>146</v>
      </c>
      <c r="V38" s="177" t="s">
        <v>146</v>
      </c>
      <c r="W38" s="177" t="s">
        <v>146</v>
      </c>
      <c r="X38" s="177" t="s">
        <v>146</v>
      </c>
      <c r="Y38" s="177" t="s">
        <v>146</v>
      </c>
      <c r="Z38" s="177" t="s">
        <v>146</v>
      </c>
      <c r="AA38" s="177" t="s">
        <v>146</v>
      </c>
      <c r="AB38" s="177" t="s">
        <v>146</v>
      </c>
      <c r="AC38" s="209" t="s">
        <v>146</v>
      </c>
      <c r="AD38" s="102" t="s">
        <v>244</v>
      </c>
    </row>
    <row r="39" spans="1:30" ht="12.75" customHeight="1">
      <c r="A39" s="114"/>
      <c r="B39" s="133" t="s">
        <v>149</v>
      </c>
      <c r="C39" s="204" t="s">
        <v>146</v>
      </c>
      <c r="D39" s="204" t="s">
        <v>146</v>
      </c>
      <c r="E39" s="176" t="s">
        <v>146</v>
      </c>
      <c r="F39" s="176" t="s">
        <v>146</v>
      </c>
      <c r="G39" s="176" t="s">
        <v>146</v>
      </c>
      <c r="H39" s="176" t="s">
        <v>146</v>
      </c>
      <c r="I39" s="176" t="s">
        <v>146</v>
      </c>
      <c r="J39" s="176" t="s">
        <v>146</v>
      </c>
      <c r="K39" s="176" t="s">
        <v>146</v>
      </c>
      <c r="L39" s="176" t="s">
        <v>146</v>
      </c>
      <c r="M39" s="176" t="s">
        <v>146</v>
      </c>
      <c r="N39" s="176" t="s">
        <v>146</v>
      </c>
      <c r="O39" s="176" t="s">
        <v>146</v>
      </c>
      <c r="P39" s="176" t="s">
        <v>146</v>
      </c>
      <c r="Q39" s="176" t="s">
        <v>146</v>
      </c>
      <c r="R39" s="176" t="s">
        <v>146</v>
      </c>
      <c r="S39" s="176" t="s">
        <v>146</v>
      </c>
      <c r="T39" s="176" t="s">
        <v>146</v>
      </c>
      <c r="U39" s="176" t="s">
        <v>146</v>
      </c>
      <c r="V39" s="176" t="s">
        <v>146</v>
      </c>
      <c r="W39" s="176" t="s">
        <v>146</v>
      </c>
      <c r="X39" s="176" t="s">
        <v>146</v>
      </c>
      <c r="Y39" s="176" t="s">
        <v>146</v>
      </c>
      <c r="Z39" s="176" t="s">
        <v>146</v>
      </c>
      <c r="AA39" s="176" t="s">
        <v>146</v>
      </c>
      <c r="AB39" s="176" t="s">
        <v>146</v>
      </c>
      <c r="AC39" s="210" t="s">
        <v>146</v>
      </c>
      <c r="AD39" s="133" t="s">
        <v>149</v>
      </c>
    </row>
    <row r="40" spans="1:30" ht="12.75" customHeight="1">
      <c r="A40" s="114"/>
      <c r="B40" s="102" t="s">
        <v>245</v>
      </c>
      <c r="C40" s="211"/>
      <c r="D40" s="211"/>
      <c r="E40" s="177"/>
      <c r="F40" s="177"/>
      <c r="G40" s="177"/>
      <c r="H40" s="177"/>
      <c r="I40" s="177"/>
      <c r="J40" s="177"/>
      <c r="K40" s="177"/>
      <c r="L40" s="177"/>
      <c r="M40" s="177"/>
      <c r="N40" s="177"/>
      <c r="O40" s="177"/>
      <c r="P40" s="177"/>
      <c r="Q40" s="177"/>
      <c r="R40" s="177"/>
      <c r="S40" s="177"/>
      <c r="T40" s="177"/>
      <c r="U40" s="177"/>
      <c r="V40" s="177"/>
      <c r="W40" s="177">
        <v>1.37</v>
      </c>
      <c r="X40" s="177">
        <v>0.872</v>
      </c>
      <c r="Y40" s="177">
        <v>0.875</v>
      </c>
      <c r="Z40" s="177">
        <v>0.726</v>
      </c>
      <c r="AA40" s="177">
        <v>0.604</v>
      </c>
      <c r="AB40" s="177">
        <v>0.701</v>
      </c>
      <c r="AC40" s="611">
        <f t="shared" si="2"/>
        <v>16.059602649006607</v>
      </c>
      <c r="AD40" s="102" t="s">
        <v>245</v>
      </c>
    </row>
    <row r="41" spans="1:30" ht="12.75" customHeight="1">
      <c r="A41" s="114"/>
      <c r="B41" s="134" t="s">
        <v>150</v>
      </c>
      <c r="C41" s="219" t="s">
        <v>146</v>
      </c>
      <c r="D41" s="219" t="s">
        <v>146</v>
      </c>
      <c r="E41" s="220" t="s">
        <v>146</v>
      </c>
      <c r="F41" s="220" t="s">
        <v>146</v>
      </c>
      <c r="G41" s="220" t="s">
        <v>146</v>
      </c>
      <c r="H41" s="220" t="s">
        <v>146</v>
      </c>
      <c r="I41" s="220" t="s">
        <v>146</v>
      </c>
      <c r="J41" s="220" t="s">
        <v>146</v>
      </c>
      <c r="K41" s="220" t="s">
        <v>146</v>
      </c>
      <c r="L41" s="220" t="s">
        <v>146</v>
      </c>
      <c r="M41" s="220" t="s">
        <v>146</v>
      </c>
      <c r="N41" s="220" t="s">
        <v>146</v>
      </c>
      <c r="O41" s="220" t="s">
        <v>146</v>
      </c>
      <c r="P41" s="220" t="s">
        <v>146</v>
      </c>
      <c r="Q41" s="220" t="s">
        <v>146</v>
      </c>
      <c r="R41" s="220" t="s">
        <v>146</v>
      </c>
      <c r="S41" s="220" t="s">
        <v>146</v>
      </c>
      <c r="T41" s="220" t="s">
        <v>146</v>
      </c>
      <c r="U41" s="220" t="s">
        <v>146</v>
      </c>
      <c r="V41" s="220" t="s">
        <v>146</v>
      </c>
      <c r="W41" s="220" t="s">
        <v>146</v>
      </c>
      <c r="X41" s="220" t="s">
        <v>146</v>
      </c>
      <c r="Y41" s="220" t="s">
        <v>146</v>
      </c>
      <c r="Z41" s="220" t="s">
        <v>146</v>
      </c>
      <c r="AA41" s="220" t="s">
        <v>146</v>
      </c>
      <c r="AB41" s="220" t="s">
        <v>146</v>
      </c>
      <c r="AC41" s="237" t="s">
        <v>146</v>
      </c>
      <c r="AD41" s="134" t="s">
        <v>150</v>
      </c>
    </row>
    <row r="42" spans="1:30" ht="12.75" customHeight="1">
      <c r="A42" s="114"/>
      <c r="B42" s="102" t="s">
        <v>151</v>
      </c>
      <c r="C42" s="353" t="s">
        <v>146</v>
      </c>
      <c r="D42" s="353" t="s">
        <v>146</v>
      </c>
      <c r="E42" s="183" t="s">
        <v>146</v>
      </c>
      <c r="F42" s="183" t="s">
        <v>146</v>
      </c>
      <c r="G42" s="183" t="s">
        <v>146</v>
      </c>
      <c r="H42" s="183" t="s">
        <v>146</v>
      </c>
      <c r="I42" s="183" t="s">
        <v>146</v>
      </c>
      <c r="J42" s="183" t="s">
        <v>146</v>
      </c>
      <c r="K42" s="183" t="s">
        <v>146</v>
      </c>
      <c r="L42" s="183" t="s">
        <v>146</v>
      </c>
      <c r="M42" s="183" t="s">
        <v>146</v>
      </c>
      <c r="N42" s="183" t="s">
        <v>146</v>
      </c>
      <c r="O42" s="183" t="s">
        <v>146</v>
      </c>
      <c r="P42" s="183" t="s">
        <v>146</v>
      </c>
      <c r="Q42" s="183" t="s">
        <v>146</v>
      </c>
      <c r="R42" s="183" t="s">
        <v>146</v>
      </c>
      <c r="S42" s="183" t="s">
        <v>146</v>
      </c>
      <c r="T42" s="183" t="s">
        <v>146</v>
      </c>
      <c r="U42" s="183" t="s">
        <v>146</v>
      </c>
      <c r="V42" s="183" t="s">
        <v>146</v>
      </c>
      <c r="W42" s="183" t="s">
        <v>146</v>
      </c>
      <c r="X42" s="183" t="s">
        <v>146</v>
      </c>
      <c r="Y42" s="183" t="s">
        <v>146</v>
      </c>
      <c r="Z42" s="183" t="s">
        <v>146</v>
      </c>
      <c r="AA42" s="183" t="s">
        <v>146</v>
      </c>
      <c r="AB42" s="177" t="s">
        <v>146</v>
      </c>
      <c r="AC42" s="209" t="s">
        <v>146</v>
      </c>
      <c r="AD42" s="102" t="s">
        <v>151</v>
      </c>
    </row>
    <row r="43" spans="1:30" ht="12.75" customHeight="1">
      <c r="A43" s="114"/>
      <c r="B43" s="133" t="s">
        <v>152</v>
      </c>
      <c r="C43" s="204" t="s">
        <v>146</v>
      </c>
      <c r="D43" s="204" t="s">
        <v>146</v>
      </c>
      <c r="E43" s="176" t="s">
        <v>146</v>
      </c>
      <c r="F43" s="176" t="s">
        <v>146</v>
      </c>
      <c r="G43" s="176" t="s">
        <v>146</v>
      </c>
      <c r="H43" s="176" t="s">
        <v>146</v>
      </c>
      <c r="I43" s="176" t="s">
        <v>146</v>
      </c>
      <c r="J43" s="176" t="s">
        <v>146</v>
      </c>
      <c r="K43" s="176" t="s">
        <v>146</v>
      </c>
      <c r="L43" s="176" t="s">
        <v>146</v>
      </c>
      <c r="M43" s="176" t="s">
        <v>146</v>
      </c>
      <c r="N43" s="176" t="s">
        <v>146</v>
      </c>
      <c r="O43" s="176" t="s">
        <v>146</v>
      </c>
      <c r="P43" s="176" t="s">
        <v>146</v>
      </c>
      <c r="Q43" s="176" t="s">
        <v>146</v>
      </c>
      <c r="R43" s="176" t="s">
        <v>146</v>
      </c>
      <c r="S43" s="176" t="s">
        <v>146</v>
      </c>
      <c r="T43" s="176" t="s">
        <v>146</v>
      </c>
      <c r="U43" s="176" t="s">
        <v>146</v>
      </c>
      <c r="V43" s="176" t="s">
        <v>146</v>
      </c>
      <c r="W43" s="176" t="s">
        <v>146</v>
      </c>
      <c r="X43" s="176" t="s">
        <v>146</v>
      </c>
      <c r="Y43" s="176" t="s">
        <v>146</v>
      </c>
      <c r="Z43" s="176" t="s">
        <v>146</v>
      </c>
      <c r="AA43" s="176" t="s">
        <v>146</v>
      </c>
      <c r="AB43" s="176" t="s">
        <v>146</v>
      </c>
      <c r="AC43" s="210" t="s">
        <v>146</v>
      </c>
      <c r="AD43" s="133" t="s">
        <v>152</v>
      </c>
    </row>
    <row r="44" spans="1:30" ht="12.75" customHeight="1">
      <c r="A44" s="114"/>
      <c r="B44" s="103" t="s">
        <v>153</v>
      </c>
      <c r="C44" s="351">
        <v>0.139</v>
      </c>
      <c r="D44" s="351">
        <v>0.125</v>
      </c>
      <c r="E44" s="354">
        <v>0.196</v>
      </c>
      <c r="F44" s="335">
        <v>0.19</v>
      </c>
      <c r="G44" s="335">
        <v>0.18</v>
      </c>
      <c r="H44" s="335">
        <v>0.17</v>
      </c>
      <c r="I44" s="182">
        <v>0.16</v>
      </c>
      <c r="J44" s="355">
        <v>0.0472</v>
      </c>
      <c r="K44" s="335">
        <v>0.0436</v>
      </c>
      <c r="L44" s="335">
        <v>0.0487</v>
      </c>
      <c r="M44" s="335">
        <v>0.049</v>
      </c>
      <c r="N44" s="335">
        <v>0.0417</v>
      </c>
      <c r="O44" s="335">
        <v>0.0521</v>
      </c>
      <c r="P44" s="335">
        <v>0.0555</v>
      </c>
      <c r="Q44" s="335">
        <v>0.0521</v>
      </c>
      <c r="R44" s="335">
        <v>0.0444</v>
      </c>
      <c r="S44" s="335">
        <v>0.0451</v>
      </c>
      <c r="T44" s="335">
        <v>0.0466</v>
      </c>
      <c r="U44" s="335">
        <v>0.042</v>
      </c>
      <c r="V44" s="335">
        <v>0.0453</v>
      </c>
      <c r="W44" s="335">
        <v>0.04265</v>
      </c>
      <c r="X44" s="335">
        <v>0.041</v>
      </c>
      <c r="Y44" s="335">
        <v>0.04009</v>
      </c>
      <c r="Z44" s="335">
        <v>0.0364</v>
      </c>
      <c r="AA44" s="335">
        <v>0.05</v>
      </c>
      <c r="AB44" s="178">
        <f>AVERAGE(Y44:AA44)</f>
        <v>0.04216333333333333</v>
      </c>
      <c r="AC44" s="612">
        <f t="shared" si="2"/>
        <v>-15.673333333333346</v>
      </c>
      <c r="AD44" s="103" t="s">
        <v>153</v>
      </c>
    </row>
    <row r="45" spans="2:30" ht="27.75" customHeight="1">
      <c r="B45" s="1087" t="s">
        <v>319</v>
      </c>
      <c r="C45" s="1087"/>
      <c r="D45" s="1087"/>
      <c r="E45" s="1087"/>
      <c r="F45" s="1087"/>
      <c r="G45" s="1087"/>
      <c r="H45" s="1087"/>
      <c r="I45" s="1087"/>
      <c r="J45" s="1087"/>
      <c r="K45" s="1087"/>
      <c r="L45" s="1087"/>
      <c r="M45" s="1087"/>
      <c r="N45" s="1087"/>
      <c r="O45" s="1087"/>
      <c r="P45" s="1087"/>
      <c r="Q45" s="1087"/>
      <c r="R45" s="1087"/>
      <c r="S45" s="1087"/>
      <c r="T45" s="1087"/>
      <c r="U45" s="1087"/>
      <c r="V45" s="1087"/>
      <c r="W45" s="1087"/>
      <c r="X45" s="1087"/>
      <c r="Y45" s="1087"/>
      <c r="Z45" s="1087"/>
      <c r="AA45" s="1087"/>
      <c r="AB45" s="1087"/>
      <c r="AC45" s="1087"/>
      <c r="AD45" s="1087"/>
    </row>
    <row r="46" spans="2:19" ht="12.75" customHeight="1">
      <c r="B46" s="1085" t="s">
        <v>174</v>
      </c>
      <c r="C46" s="1085"/>
      <c r="D46" s="1085"/>
      <c r="E46" s="1085"/>
      <c r="F46" s="1085"/>
      <c r="G46" s="1085"/>
      <c r="H46" s="1085"/>
      <c r="I46" s="1085"/>
      <c r="J46" s="1085"/>
      <c r="K46" s="1085"/>
      <c r="L46" s="1085"/>
      <c r="M46" s="1085"/>
      <c r="N46" s="1085"/>
      <c r="O46" s="1085"/>
      <c r="P46" s="1085"/>
      <c r="Q46" s="1085"/>
      <c r="R46" s="1085"/>
      <c r="S46" s="1085"/>
    </row>
    <row r="47" spans="1:30" s="197" customFormat="1" ht="12.75" customHeight="1">
      <c r="A47" s="229"/>
      <c r="B47" s="356" t="s">
        <v>253</v>
      </c>
      <c r="C47" s="357"/>
      <c r="D47" s="357"/>
      <c r="E47" s="357"/>
      <c r="F47" s="357"/>
      <c r="G47" s="357"/>
      <c r="H47" s="357"/>
      <c r="I47" s="357"/>
      <c r="J47" s="357"/>
      <c r="K47" s="357"/>
      <c r="L47" s="357"/>
      <c r="M47" s="357"/>
      <c r="N47" s="357"/>
      <c r="O47" s="357"/>
      <c r="P47" s="357"/>
      <c r="Q47" s="357"/>
      <c r="R47" s="357"/>
      <c r="S47" s="357"/>
      <c r="T47" s="358"/>
      <c r="U47" s="358"/>
      <c r="V47" s="358"/>
      <c r="W47" s="358"/>
      <c r="X47" s="358"/>
      <c r="Y47" s="358"/>
      <c r="Z47" s="358"/>
      <c r="AA47" s="358"/>
      <c r="AB47" s="358"/>
      <c r="AC47" s="358"/>
      <c r="AD47" s="358"/>
    </row>
    <row r="48" spans="2:16" ht="12.75">
      <c r="B48" s="197" t="s">
        <v>320</v>
      </c>
      <c r="C48"/>
      <c r="D48"/>
      <c r="E48"/>
      <c r="F48"/>
      <c r="G48"/>
      <c r="H48"/>
      <c r="I48"/>
      <c r="J48"/>
      <c r="K48"/>
      <c r="L48"/>
      <c r="M48"/>
      <c r="N48"/>
      <c r="O48"/>
      <c r="P48"/>
    </row>
    <row r="49" spans="2:15" ht="12.75">
      <c r="B49" s="118" t="s">
        <v>254</v>
      </c>
      <c r="C49"/>
      <c r="D49"/>
      <c r="E49"/>
      <c r="F49"/>
      <c r="G49"/>
      <c r="H49"/>
      <c r="I49"/>
      <c r="J49"/>
      <c r="K49"/>
      <c r="L49"/>
      <c r="M49"/>
      <c r="N49" s="468">
        <v>2000</v>
      </c>
      <c r="O49"/>
    </row>
    <row r="50" ht="12.75">
      <c r="B50" s="118" t="s">
        <v>255</v>
      </c>
    </row>
    <row r="51" ht="12.75">
      <c r="B51" s="118" t="s">
        <v>256</v>
      </c>
    </row>
  </sheetData>
  <sheetProtection/>
  <mergeCells count="4">
    <mergeCell ref="B46:S46"/>
    <mergeCell ref="W3:X3"/>
    <mergeCell ref="B2:AD2"/>
    <mergeCell ref="B45:AD4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AT81"/>
  <sheetViews>
    <sheetView zoomScalePageLayoutView="0" workbookViewId="0" topLeftCell="A1">
      <selection activeCell="A1" sqref="A1"/>
    </sheetView>
  </sheetViews>
  <sheetFormatPr defaultColWidth="9.140625" defaultRowHeight="12.75"/>
  <cols>
    <col min="1" max="1" width="3.7109375" style="193" customWidth="1"/>
    <col min="2" max="2" width="5.421875" style="96" customWidth="1"/>
    <col min="3" max="5" width="6.7109375" style="96" customWidth="1"/>
    <col min="6" max="9" width="6.7109375" style="96" hidden="1" customWidth="1"/>
    <col min="10" max="20" width="6.7109375" style="96" customWidth="1"/>
    <col min="21" max="28" width="7.28125" style="96" customWidth="1"/>
    <col min="29" max="29" width="6.28125" style="96" customWidth="1"/>
    <col min="30" max="30" width="5.140625" style="96" customWidth="1"/>
    <col min="31" max="31" width="2.8515625" style="96" customWidth="1"/>
    <col min="32" max="16384" width="9.140625" style="96" customWidth="1"/>
  </cols>
  <sheetData>
    <row r="1" spans="2:30" ht="14.25" customHeight="1">
      <c r="B1" s="194"/>
      <c r="C1" s="253"/>
      <c r="D1" s="253"/>
      <c r="E1" s="95"/>
      <c r="F1" s="95"/>
      <c r="G1" s="95"/>
      <c r="H1" s="95"/>
      <c r="I1" s="95"/>
      <c r="J1" s="95"/>
      <c r="K1" s="95"/>
      <c r="L1" s="95"/>
      <c r="M1" s="95"/>
      <c r="N1" s="95"/>
      <c r="O1" s="95"/>
      <c r="P1" s="95"/>
      <c r="R1"/>
      <c r="U1" s="97"/>
      <c r="V1" s="97"/>
      <c r="W1" s="97"/>
      <c r="X1" s="97"/>
      <c r="Y1" s="97"/>
      <c r="Z1" s="97"/>
      <c r="AA1" s="97"/>
      <c r="AB1" s="97"/>
      <c r="AD1" s="97" t="s">
        <v>233</v>
      </c>
    </row>
    <row r="2" spans="1:31" s="197" customFormat="1" ht="30" customHeight="1">
      <c r="A2" s="195"/>
      <c r="B2" s="1089" t="s">
        <v>321</v>
      </c>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469"/>
    </row>
    <row r="3" spans="2:31" ht="12.75">
      <c r="B3" s="123"/>
      <c r="C3" s="123"/>
      <c r="E3" s="221"/>
      <c r="F3" s="221"/>
      <c r="G3" s="221"/>
      <c r="H3" s="221"/>
      <c r="I3" s="221"/>
      <c r="J3" s="255"/>
      <c r="K3" s="255"/>
      <c r="L3" s="255"/>
      <c r="M3" s="255"/>
      <c r="N3" s="255"/>
      <c r="O3" s="255"/>
      <c r="R3" s="318"/>
      <c r="W3" s="1086" t="s">
        <v>248</v>
      </c>
      <c r="X3" s="1086"/>
      <c r="Y3" s="198"/>
      <c r="Z3" s="198"/>
      <c r="AA3" s="198"/>
      <c r="AB3" s="198"/>
      <c r="AC3" s="199"/>
      <c r="AD3" s="346"/>
      <c r="AE3" s="346"/>
    </row>
    <row r="4" spans="2:31" ht="19.5" customHeight="1">
      <c r="B4" s="98"/>
      <c r="C4" s="99">
        <v>1970</v>
      </c>
      <c r="D4" s="99">
        <v>1980</v>
      </c>
      <c r="E4" s="101">
        <v>1990</v>
      </c>
      <c r="F4" s="101">
        <v>1991</v>
      </c>
      <c r="G4" s="101">
        <v>1992</v>
      </c>
      <c r="H4" s="101">
        <v>1993</v>
      </c>
      <c r="I4" s="101">
        <v>1994</v>
      </c>
      <c r="J4" s="101">
        <v>1995</v>
      </c>
      <c r="K4" s="101">
        <v>1996</v>
      </c>
      <c r="L4" s="101">
        <v>1997</v>
      </c>
      <c r="M4" s="101">
        <v>1998</v>
      </c>
      <c r="N4" s="101">
        <v>1999</v>
      </c>
      <c r="O4" s="101">
        <v>2000</v>
      </c>
      <c r="P4" s="101">
        <v>2001</v>
      </c>
      <c r="Q4" s="101">
        <v>2002</v>
      </c>
      <c r="R4" s="101">
        <v>2003</v>
      </c>
      <c r="S4" s="101">
        <v>2004</v>
      </c>
      <c r="T4" s="101">
        <v>2005</v>
      </c>
      <c r="U4" s="101">
        <v>2006</v>
      </c>
      <c r="V4" s="101">
        <v>2007</v>
      </c>
      <c r="W4" s="101">
        <v>2008</v>
      </c>
      <c r="X4" s="101">
        <v>2009</v>
      </c>
      <c r="Y4" s="101">
        <v>2010</v>
      </c>
      <c r="Z4" s="101">
        <v>2011</v>
      </c>
      <c r="AA4" s="101">
        <v>2012</v>
      </c>
      <c r="AB4" s="101">
        <v>2013</v>
      </c>
      <c r="AC4" s="122" t="s">
        <v>314</v>
      </c>
      <c r="AD4" s="224"/>
      <c r="AE4" s="461"/>
    </row>
    <row r="5" spans="2:31" ht="9.75" customHeight="1">
      <c r="B5" s="98"/>
      <c r="C5" s="126"/>
      <c r="D5" s="225"/>
      <c r="E5" s="200"/>
      <c r="F5" s="200"/>
      <c r="G5" s="200"/>
      <c r="H5" s="200"/>
      <c r="I5" s="200"/>
      <c r="J5" s="200"/>
      <c r="K5" s="200"/>
      <c r="L5" s="200"/>
      <c r="M5" s="200"/>
      <c r="N5" s="200"/>
      <c r="O5" s="200"/>
      <c r="P5" s="200"/>
      <c r="Q5" s="200"/>
      <c r="R5" s="200"/>
      <c r="S5" s="200"/>
      <c r="T5" s="200"/>
      <c r="U5" s="200"/>
      <c r="V5" s="200"/>
      <c r="W5" s="200"/>
      <c r="X5" s="200"/>
      <c r="Y5" s="200"/>
      <c r="Z5" s="200"/>
      <c r="AA5" s="200"/>
      <c r="AB5" s="200"/>
      <c r="AC5" s="226" t="s">
        <v>147</v>
      </c>
      <c r="AD5" s="224"/>
      <c r="AE5" s="461"/>
    </row>
    <row r="6" spans="2:31" ht="12.75" customHeight="1">
      <c r="B6" s="129" t="s">
        <v>260</v>
      </c>
      <c r="C6" s="347"/>
      <c r="D6" s="347"/>
      <c r="E6" s="167"/>
      <c r="F6" s="167"/>
      <c r="G6" s="167"/>
      <c r="H6" s="167"/>
      <c r="I6" s="167">
        <f aca="true" t="shared" si="0" ref="I6:AB6">SUM(I9:I36)</f>
        <v>115.475</v>
      </c>
      <c r="J6" s="167">
        <f t="shared" si="0"/>
        <v>114.91029999999998</v>
      </c>
      <c r="K6" s="167">
        <f t="shared" si="0"/>
        <v>119.3301</v>
      </c>
      <c r="L6" s="167">
        <f t="shared" si="0"/>
        <v>118.90400000000001</v>
      </c>
      <c r="M6" s="167">
        <f t="shared" si="0"/>
        <v>126.33999999999999</v>
      </c>
      <c r="N6" s="167">
        <f t="shared" si="0"/>
        <v>124.85099999999998</v>
      </c>
      <c r="O6" s="167">
        <f t="shared" si="0"/>
        <v>127.10669999999999</v>
      </c>
      <c r="P6" s="167">
        <f t="shared" si="0"/>
        <v>133.9373</v>
      </c>
      <c r="Q6" s="167">
        <f t="shared" si="0"/>
        <v>129.7316</v>
      </c>
      <c r="R6" s="167">
        <f t="shared" si="0"/>
        <v>131.6878</v>
      </c>
      <c r="S6" s="167">
        <f t="shared" si="0"/>
        <v>133.2593606</v>
      </c>
      <c r="T6" s="167">
        <f t="shared" si="0"/>
        <v>137.58850379999998</v>
      </c>
      <c r="U6" s="167">
        <f t="shared" si="0"/>
        <v>136.56624979999998</v>
      </c>
      <c r="V6" s="167">
        <f t="shared" si="0"/>
        <v>128.45148842182226</v>
      </c>
      <c r="W6" s="167">
        <f t="shared" si="0"/>
        <v>124.94496585313127</v>
      </c>
      <c r="X6" s="166">
        <f t="shared" si="0"/>
        <v>121.81921473696151</v>
      </c>
      <c r="Y6" s="166">
        <f t="shared" si="0"/>
        <v>121.13344560300447</v>
      </c>
      <c r="Z6" s="166">
        <f t="shared" si="0"/>
        <v>118.37031897026802</v>
      </c>
      <c r="AA6" s="166">
        <f t="shared" si="0"/>
        <v>114.89650906969668</v>
      </c>
      <c r="AB6" s="166">
        <f t="shared" si="0"/>
        <v>111.81004097523953</v>
      </c>
      <c r="AC6" s="231">
        <f>AB6/AA6*100-100</f>
        <v>-2.686302760151648</v>
      </c>
      <c r="AD6" s="129" t="s">
        <v>260</v>
      </c>
      <c r="AE6" s="461"/>
    </row>
    <row r="7" spans="1:30" ht="12.75" customHeight="1">
      <c r="A7" s="114"/>
      <c r="B7" s="133" t="s">
        <v>89</v>
      </c>
      <c r="C7" s="348">
        <f aca="true" t="shared" si="1" ref="C7:N7">C9+C12+C13+C17+C18+C20+C27+C28+C36</f>
        <v>63.736999999999995</v>
      </c>
      <c r="D7" s="348">
        <f t="shared" si="1"/>
        <v>84.95700000000001</v>
      </c>
      <c r="E7" s="170">
        <f t="shared" si="1"/>
        <v>71.707</v>
      </c>
      <c r="F7" s="170">
        <f t="shared" si="1"/>
        <v>78.92600000000002</v>
      </c>
      <c r="G7" s="170">
        <f t="shared" si="1"/>
        <v>80.743</v>
      </c>
      <c r="H7" s="170">
        <f t="shared" si="1"/>
        <v>82.193</v>
      </c>
      <c r="I7" s="170">
        <f t="shared" si="1"/>
        <v>83.134</v>
      </c>
      <c r="J7" s="170">
        <f t="shared" si="1"/>
        <v>80.192</v>
      </c>
      <c r="K7" s="170">
        <f t="shared" si="1"/>
        <v>82.18900000000001</v>
      </c>
      <c r="L7" s="170">
        <f t="shared" si="1"/>
        <v>82.215</v>
      </c>
      <c r="M7" s="170">
        <f t="shared" si="1"/>
        <v>85.291</v>
      </c>
      <c r="N7" s="170">
        <f t="shared" si="1"/>
        <v>84.852</v>
      </c>
      <c r="O7" s="170">
        <f>O9+O12+O13+O17+O18+O20+O27+O28+O30+O36</f>
        <v>86.155</v>
      </c>
      <c r="P7" s="170">
        <f>P9+P12+P13+P17+P18+P20+P27+P28+P30+P36</f>
        <v>88.553</v>
      </c>
      <c r="Q7" s="170">
        <f aca="true" t="shared" si="2" ref="Q7:AB7">Q9+Q12+Q13+Q16+Q17+Q18+Q20+Q27+Q28+Q30+Q36</f>
        <v>86.70100000000001</v>
      </c>
      <c r="R7" s="170">
        <f t="shared" si="2"/>
        <v>87.139</v>
      </c>
      <c r="S7" s="170">
        <f t="shared" si="2"/>
        <v>87.57896059999999</v>
      </c>
      <c r="T7" s="170">
        <f t="shared" si="2"/>
        <v>90.1025038</v>
      </c>
      <c r="U7" s="170">
        <f t="shared" si="2"/>
        <v>90.10954980000001</v>
      </c>
      <c r="V7" s="169">
        <f t="shared" si="2"/>
        <v>87.15488842182226</v>
      </c>
      <c r="W7" s="169">
        <f t="shared" si="2"/>
        <v>87.03616585313128</v>
      </c>
      <c r="X7" s="169">
        <f t="shared" si="2"/>
        <v>83.28701473696152</v>
      </c>
      <c r="Y7" s="169">
        <f t="shared" si="2"/>
        <v>80.8951456030045</v>
      </c>
      <c r="Z7" s="169">
        <f t="shared" si="2"/>
        <v>79.48141897026802</v>
      </c>
      <c r="AA7" s="169">
        <f t="shared" si="2"/>
        <v>78.23669906969667</v>
      </c>
      <c r="AB7" s="169">
        <f t="shared" si="2"/>
        <v>76.73758097523952</v>
      </c>
      <c r="AC7" s="232">
        <f aca="true" t="shared" si="3" ref="AC7:AC44">AB7/AA7*100-100</f>
        <v>-1.9161315754409145</v>
      </c>
      <c r="AD7" s="133" t="s">
        <v>89</v>
      </c>
    </row>
    <row r="8" spans="1:46" ht="12.75" customHeight="1">
      <c r="A8" s="114"/>
      <c r="B8" s="134" t="s">
        <v>261</v>
      </c>
      <c r="C8" s="349"/>
      <c r="D8" s="349"/>
      <c r="E8" s="173"/>
      <c r="F8" s="173"/>
      <c r="G8" s="173"/>
      <c r="H8" s="173"/>
      <c r="I8" s="173">
        <f aca="true" t="shared" si="4" ref="I8:N8">I6-I7</f>
        <v>32.340999999999994</v>
      </c>
      <c r="J8" s="173">
        <f t="shared" si="4"/>
        <v>34.718299999999985</v>
      </c>
      <c r="K8" s="173">
        <f t="shared" si="4"/>
        <v>37.141099999999994</v>
      </c>
      <c r="L8" s="173">
        <f t="shared" si="4"/>
        <v>36.68900000000001</v>
      </c>
      <c r="M8" s="173">
        <f t="shared" si="4"/>
        <v>41.04899999999999</v>
      </c>
      <c r="N8" s="173">
        <f t="shared" si="4"/>
        <v>39.99899999999998</v>
      </c>
      <c r="O8" s="173">
        <f>O6-O7</f>
        <v>40.95169999999999</v>
      </c>
      <c r="P8" s="173">
        <f aca="true" t="shared" si="5" ref="P8:Y8">P6-P7</f>
        <v>45.384299999999996</v>
      </c>
      <c r="Q8" s="173">
        <f t="shared" si="5"/>
        <v>43.03059999999998</v>
      </c>
      <c r="R8" s="173">
        <f t="shared" si="5"/>
        <v>44.548800000000014</v>
      </c>
      <c r="S8" s="173">
        <f t="shared" si="5"/>
        <v>45.68040000000002</v>
      </c>
      <c r="T8" s="173">
        <f t="shared" si="5"/>
        <v>47.48599999999999</v>
      </c>
      <c r="U8" s="173">
        <f t="shared" si="5"/>
        <v>46.45669999999997</v>
      </c>
      <c r="V8" s="173">
        <f t="shared" si="5"/>
        <v>41.2966</v>
      </c>
      <c r="W8" s="173">
        <f t="shared" si="5"/>
        <v>37.908799999999985</v>
      </c>
      <c r="X8" s="172">
        <f t="shared" si="5"/>
        <v>38.53219999999999</v>
      </c>
      <c r="Y8" s="172">
        <f t="shared" si="5"/>
        <v>40.23829999999998</v>
      </c>
      <c r="Z8" s="172">
        <f>Z6-Z7</f>
        <v>38.88889999999999</v>
      </c>
      <c r="AA8" s="172">
        <f>AA6-AA7</f>
        <v>36.65981000000001</v>
      </c>
      <c r="AB8" s="172">
        <f>AB6-AB7</f>
        <v>35.07246000000001</v>
      </c>
      <c r="AC8" s="342">
        <f t="shared" si="3"/>
        <v>-4.329946063550253</v>
      </c>
      <c r="AD8" s="134" t="s">
        <v>261</v>
      </c>
      <c r="AF8"/>
      <c r="AG8"/>
      <c r="AH8"/>
      <c r="AI8"/>
      <c r="AJ8"/>
      <c r="AK8"/>
      <c r="AL8"/>
      <c r="AM8"/>
      <c r="AN8"/>
      <c r="AO8"/>
      <c r="AP8"/>
      <c r="AQ8"/>
      <c r="AR8"/>
      <c r="AS8"/>
      <c r="AT8"/>
    </row>
    <row r="9" spans="1:46" ht="12.75" customHeight="1">
      <c r="A9" s="114"/>
      <c r="B9" s="102" t="s">
        <v>60</v>
      </c>
      <c r="C9" s="202">
        <v>0.27</v>
      </c>
      <c r="D9" s="202">
        <v>1.802</v>
      </c>
      <c r="E9" s="179">
        <v>1.024</v>
      </c>
      <c r="F9" s="179">
        <v>1.13</v>
      </c>
      <c r="G9" s="179">
        <v>1.168</v>
      </c>
      <c r="H9" s="179">
        <v>1.263</v>
      </c>
      <c r="I9" s="179">
        <v>1.37</v>
      </c>
      <c r="J9" s="179">
        <v>1.37</v>
      </c>
      <c r="K9" s="179">
        <v>1.45</v>
      </c>
      <c r="L9" s="179">
        <v>1.526</v>
      </c>
      <c r="M9" s="179">
        <v>1.57</v>
      </c>
      <c r="N9" s="179">
        <v>1.577</v>
      </c>
      <c r="O9" s="179">
        <v>1.624</v>
      </c>
      <c r="P9" s="179">
        <v>1.544</v>
      </c>
      <c r="Q9" s="179">
        <v>1.511</v>
      </c>
      <c r="R9" s="179">
        <v>1.518</v>
      </c>
      <c r="S9" s="179">
        <v>1.533</v>
      </c>
      <c r="T9" s="179">
        <v>1.517</v>
      </c>
      <c r="U9" s="179">
        <v>1.572</v>
      </c>
      <c r="V9" s="174">
        <v>1.4693124218222637</v>
      </c>
      <c r="W9" s="174">
        <v>1.460448453131281</v>
      </c>
      <c r="X9" s="174">
        <v>1.525011332225989</v>
      </c>
      <c r="Y9" s="174">
        <v>1.5165343017285184</v>
      </c>
      <c r="Z9" s="174">
        <v>1.396535770097158</v>
      </c>
      <c r="AA9" s="174">
        <v>1.631505498342776</v>
      </c>
      <c r="AB9" s="174">
        <v>1.6930081637049001</v>
      </c>
      <c r="AC9" s="203">
        <f t="shared" si="3"/>
        <v>3.7696879001999406</v>
      </c>
      <c r="AD9" s="102" t="s">
        <v>60</v>
      </c>
      <c r="AF9"/>
      <c r="AG9"/>
      <c r="AH9"/>
      <c r="AI9"/>
      <c r="AJ9"/>
      <c r="AK9"/>
      <c r="AL9"/>
      <c r="AM9"/>
      <c r="AN9"/>
      <c r="AO9"/>
      <c r="AP9"/>
      <c r="AQ9"/>
      <c r="AR9"/>
      <c r="AS9"/>
      <c r="AT9"/>
    </row>
    <row r="10" spans="1:46" ht="12.75" customHeight="1">
      <c r="A10" s="114"/>
      <c r="B10" s="133" t="s">
        <v>101</v>
      </c>
      <c r="C10" s="204">
        <v>0</v>
      </c>
      <c r="D10" s="204">
        <v>0.75</v>
      </c>
      <c r="E10" s="176">
        <v>0.64</v>
      </c>
      <c r="F10" s="176">
        <v>0.454</v>
      </c>
      <c r="G10" s="176">
        <v>0.259</v>
      </c>
      <c r="H10" s="176">
        <v>0.3</v>
      </c>
      <c r="I10" s="176">
        <v>0.36</v>
      </c>
      <c r="J10" s="176">
        <v>0.41</v>
      </c>
      <c r="K10" s="176">
        <v>0.36</v>
      </c>
      <c r="L10" s="176">
        <v>0.26</v>
      </c>
      <c r="M10" s="176">
        <v>0.244</v>
      </c>
      <c r="N10" s="176">
        <v>0.33</v>
      </c>
      <c r="O10" s="176">
        <v>0.379</v>
      </c>
      <c r="P10" s="176">
        <v>0.339</v>
      </c>
      <c r="Q10" s="176">
        <v>0.286</v>
      </c>
      <c r="R10" s="176">
        <v>0.282</v>
      </c>
      <c r="S10" s="176">
        <v>0.274</v>
      </c>
      <c r="T10" s="176">
        <v>0.352</v>
      </c>
      <c r="U10" s="176">
        <v>0.3566</v>
      </c>
      <c r="V10" s="176">
        <v>0.4196</v>
      </c>
      <c r="W10" s="176">
        <v>0.4198</v>
      </c>
      <c r="X10" s="176">
        <v>0.4365</v>
      </c>
      <c r="Y10" s="176">
        <v>0.4145</v>
      </c>
      <c r="Z10" s="176">
        <v>0.4808</v>
      </c>
      <c r="AA10" s="176">
        <v>0.5729</v>
      </c>
      <c r="AB10" s="176">
        <v>0.633</v>
      </c>
      <c r="AC10" s="210">
        <f t="shared" si="3"/>
        <v>10.490486995985336</v>
      </c>
      <c r="AD10" s="133" t="s">
        <v>101</v>
      </c>
      <c r="AF10"/>
      <c r="AG10"/>
      <c r="AH10"/>
      <c r="AI10"/>
      <c r="AJ10"/>
      <c r="AK10"/>
      <c r="AL10"/>
      <c r="AM10"/>
      <c r="AN10"/>
      <c r="AO10"/>
      <c r="AP10"/>
      <c r="AQ10"/>
      <c r="AR10"/>
      <c r="AS10"/>
      <c r="AT10"/>
    </row>
    <row r="11" spans="1:46" ht="12.75" customHeight="1">
      <c r="A11" s="114"/>
      <c r="B11" s="102" t="s">
        <v>61</v>
      </c>
      <c r="C11" s="211"/>
      <c r="D11" s="211"/>
      <c r="E11" s="177"/>
      <c r="F11" s="177"/>
      <c r="G11" s="177"/>
      <c r="H11" s="178">
        <v>1.98</v>
      </c>
      <c r="I11" s="177">
        <v>2.18</v>
      </c>
      <c r="J11" s="177">
        <v>2.276</v>
      </c>
      <c r="K11" s="177">
        <v>2.27</v>
      </c>
      <c r="L11" s="177">
        <v>2.11</v>
      </c>
      <c r="M11" s="177">
        <v>2.078</v>
      </c>
      <c r="N11" s="177">
        <v>1.795</v>
      </c>
      <c r="O11" s="177">
        <v>1.612</v>
      </c>
      <c r="P11" s="177">
        <v>1.661</v>
      </c>
      <c r="Q11" s="177">
        <v>1.717</v>
      </c>
      <c r="R11" s="177">
        <v>1.82</v>
      </c>
      <c r="S11" s="177">
        <v>1.902</v>
      </c>
      <c r="T11" s="177">
        <v>2.259</v>
      </c>
      <c r="U11" s="177">
        <v>2.291</v>
      </c>
      <c r="V11" s="177">
        <v>2.079</v>
      </c>
      <c r="W11" s="177">
        <v>2.315</v>
      </c>
      <c r="X11" s="177">
        <v>2.156</v>
      </c>
      <c r="Y11" s="177">
        <v>2.191</v>
      </c>
      <c r="Z11" s="177">
        <v>1.9537</v>
      </c>
      <c r="AA11" s="177">
        <v>1.907</v>
      </c>
      <c r="AB11" s="177">
        <v>1.933</v>
      </c>
      <c r="AC11" s="216">
        <f t="shared" si="3"/>
        <v>1.3633980073413738</v>
      </c>
      <c r="AD11" s="102" t="s">
        <v>61</v>
      </c>
      <c r="AF11"/>
      <c r="AG11"/>
      <c r="AH11"/>
      <c r="AI11"/>
      <c r="AJ11"/>
      <c r="AK11"/>
      <c r="AL11"/>
      <c r="AM11"/>
      <c r="AN11"/>
      <c r="AO11"/>
      <c r="AP11"/>
      <c r="AQ11"/>
      <c r="AR11"/>
      <c r="AS11"/>
      <c r="AT11"/>
    </row>
    <row r="12" spans="1:46" ht="12.75" customHeight="1">
      <c r="A12" s="114"/>
      <c r="B12" s="133" t="s">
        <v>14</v>
      </c>
      <c r="C12" s="204"/>
      <c r="D12" s="204"/>
      <c r="E12" s="176">
        <v>2.016</v>
      </c>
      <c r="F12" s="176">
        <v>2.361</v>
      </c>
      <c r="G12" s="176">
        <v>2.624</v>
      </c>
      <c r="H12" s="176">
        <v>2.797</v>
      </c>
      <c r="I12" s="176">
        <v>3.087</v>
      </c>
      <c r="J12" s="176">
        <v>3.109</v>
      </c>
      <c r="K12" s="176">
        <v>3.461</v>
      </c>
      <c r="L12" s="176">
        <v>3.823</v>
      </c>
      <c r="M12" s="176">
        <v>3.921</v>
      </c>
      <c r="N12" s="176">
        <v>4.271</v>
      </c>
      <c r="O12" s="176">
        <v>4.69</v>
      </c>
      <c r="P12" s="176">
        <v>4.695</v>
      </c>
      <c r="Q12" s="176">
        <v>5.103</v>
      </c>
      <c r="R12" s="176">
        <v>5.154</v>
      </c>
      <c r="S12" s="176">
        <v>5.254</v>
      </c>
      <c r="T12" s="176">
        <v>5.125</v>
      </c>
      <c r="U12" s="176">
        <v>4.872</v>
      </c>
      <c r="V12" s="176">
        <v>4.627</v>
      </c>
      <c r="W12" s="176">
        <v>4.209</v>
      </c>
      <c r="X12" s="176">
        <v>3.895</v>
      </c>
      <c r="Y12" s="176">
        <v>3.547</v>
      </c>
      <c r="Z12" s="176">
        <v>3.265</v>
      </c>
      <c r="AA12" s="176">
        <v>3.078</v>
      </c>
      <c r="AB12" s="176">
        <v>2.739</v>
      </c>
      <c r="AC12" s="210">
        <f t="shared" si="3"/>
        <v>-11.01364522417154</v>
      </c>
      <c r="AD12" s="133" t="s">
        <v>14</v>
      </c>
      <c r="AF12"/>
      <c r="AG12"/>
      <c r="AH12"/>
      <c r="AI12"/>
      <c r="AJ12"/>
      <c r="AK12"/>
      <c r="AL12"/>
      <c r="AM12"/>
      <c r="AN12"/>
      <c r="AO12"/>
      <c r="AP12"/>
      <c r="AQ12"/>
      <c r="AR12"/>
      <c r="AS12"/>
      <c r="AT12"/>
    </row>
    <row r="13" spans="1:46" ht="12.75" customHeight="1">
      <c r="A13" s="114"/>
      <c r="B13" s="102" t="s">
        <v>63</v>
      </c>
      <c r="C13" s="211">
        <v>16.9</v>
      </c>
      <c r="D13" s="211">
        <v>14.3</v>
      </c>
      <c r="E13" s="177">
        <v>13.3</v>
      </c>
      <c r="F13" s="214">
        <v>15.7</v>
      </c>
      <c r="G13" s="177">
        <v>15.7</v>
      </c>
      <c r="H13" s="177">
        <v>16.1</v>
      </c>
      <c r="I13" s="213">
        <v>16.8</v>
      </c>
      <c r="J13" s="177">
        <v>14.757</v>
      </c>
      <c r="K13" s="177">
        <v>14.5</v>
      </c>
      <c r="L13" s="177">
        <v>13.151</v>
      </c>
      <c r="M13" s="177">
        <v>14.849</v>
      </c>
      <c r="N13" s="177">
        <v>14.966</v>
      </c>
      <c r="O13" s="177">
        <v>15.033</v>
      </c>
      <c r="P13" s="177">
        <v>15.761</v>
      </c>
      <c r="Q13" s="177">
        <v>15.205</v>
      </c>
      <c r="R13" s="177">
        <v>15.407</v>
      </c>
      <c r="S13" s="177">
        <v>16.236</v>
      </c>
      <c r="T13" s="177">
        <v>16.741</v>
      </c>
      <c r="U13" s="177">
        <v>15.844</v>
      </c>
      <c r="V13" s="177">
        <v>15.824</v>
      </c>
      <c r="W13" s="177">
        <v>15.67</v>
      </c>
      <c r="X13" s="177">
        <v>15.95</v>
      </c>
      <c r="Y13" s="177">
        <v>16.259</v>
      </c>
      <c r="Z13" s="177">
        <v>15.623</v>
      </c>
      <c r="AA13" s="177">
        <v>16.207</v>
      </c>
      <c r="AB13" s="177">
        <v>18.18</v>
      </c>
      <c r="AC13" s="216">
        <f t="shared" si="3"/>
        <v>12.173752082433523</v>
      </c>
      <c r="AD13" s="102" t="s">
        <v>63</v>
      </c>
      <c r="AF13"/>
      <c r="AG13"/>
      <c r="AH13"/>
      <c r="AI13"/>
      <c r="AJ13"/>
      <c r="AK13"/>
      <c r="AL13"/>
      <c r="AM13"/>
      <c r="AN13"/>
      <c r="AO13"/>
      <c r="AP13"/>
      <c r="AQ13"/>
      <c r="AR13"/>
      <c r="AS13"/>
      <c r="AT13"/>
    </row>
    <row r="14" spans="1:46" ht="12.75" customHeight="1">
      <c r="A14" s="114"/>
      <c r="B14" s="133" t="s">
        <v>64</v>
      </c>
      <c r="C14" s="204" t="s">
        <v>146</v>
      </c>
      <c r="D14" s="204" t="s">
        <v>146</v>
      </c>
      <c r="E14" s="176" t="s">
        <v>146</v>
      </c>
      <c r="F14" s="176" t="s">
        <v>146</v>
      </c>
      <c r="G14" s="176" t="s">
        <v>146</v>
      </c>
      <c r="H14" s="176" t="s">
        <v>146</v>
      </c>
      <c r="I14" s="176" t="s">
        <v>146</v>
      </c>
      <c r="J14" s="176" t="s">
        <v>146</v>
      </c>
      <c r="K14" s="176" t="s">
        <v>146</v>
      </c>
      <c r="L14" s="176" t="s">
        <v>146</v>
      </c>
      <c r="M14" s="176" t="s">
        <v>146</v>
      </c>
      <c r="N14" s="176" t="s">
        <v>146</v>
      </c>
      <c r="O14" s="176" t="s">
        <v>146</v>
      </c>
      <c r="P14" s="176" t="s">
        <v>146</v>
      </c>
      <c r="Q14" s="176" t="s">
        <v>146</v>
      </c>
      <c r="R14" s="176" t="s">
        <v>146</v>
      </c>
      <c r="S14" s="176" t="s">
        <v>146</v>
      </c>
      <c r="T14" s="176" t="s">
        <v>146</v>
      </c>
      <c r="U14" s="176" t="s">
        <v>146</v>
      </c>
      <c r="V14" s="176" t="s">
        <v>146</v>
      </c>
      <c r="W14" s="176" t="s">
        <v>146</v>
      </c>
      <c r="X14" s="176" t="s">
        <v>146</v>
      </c>
      <c r="Y14" s="176" t="s">
        <v>146</v>
      </c>
      <c r="Z14" s="176" t="s">
        <v>146</v>
      </c>
      <c r="AA14" s="176" t="s">
        <v>146</v>
      </c>
      <c r="AB14" s="176" t="s">
        <v>146</v>
      </c>
      <c r="AC14" s="234" t="s">
        <v>146</v>
      </c>
      <c r="AD14" s="133" t="s">
        <v>64</v>
      </c>
      <c r="AF14"/>
      <c r="AG14"/>
      <c r="AH14"/>
      <c r="AI14"/>
      <c r="AJ14"/>
      <c r="AK14"/>
      <c r="AL14"/>
      <c r="AM14"/>
      <c r="AN14"/>
      <c r="AO14"/>
      <c r="AP14"/>
      <c r="AQ14"/>
      <c r="AR14"/>
      <c r="AS14"/>
      <c r="AT14"/>
    </row>
    <row r="15" spans="1:46" ht="12.75" customHeight="1">
      <c r="A15" s="114"/>
      <c r="B15" s="102" t="s">
        <v>68</v>
      </c>
      <c r="C15" s="202" t="s">
        <v>146</v>
      </c>
      <c r="D15" s="202" t="s">
        <v>146</v>
      </c>
      <c r="E15" s="179" t="s">
        <v>146</v>
      </c>
      <c r="F15" s="179" t="s">
        <v>146</v>
      </c>
      <c r="G15" s="179" t="s">
        <v>146</v>
      </c>
      <c r="H15" s="179" t="s">
        <v>146</v>
      </c>
      <c r="I15" s="179" t="s">
        <v>146</v>
      </c>
      <c r="J15" s="179" t="s">
        <v>146</v>
      </c>
      <c r="K15" s="179" t="s">
        <v>146</v>
      </c>
      <c r="L15" s="179" t="s">
        <v>146</v>
      </c>
      <c r="M15" s="179" t="s">
        <v>146</v>
      </c>
      <c r="N15" s="179" t="s">
        <v>146</v>
      </c>
      <c r="O15" s="179" t="s">
        <v>146</v>
      </c>
      <c r="P15" s="179" t="s">
        <v>146</v>
      </c>
      <c r="Q15" s="179" t="s">
        <v>146</v>
      </c>
      <c r="R15" s="179" t="s">
        <v>146</v>
      </c>
      <c r="S15" s="179" t="s">
        <v>146</v>
      </c>
      <c r="T15" s="179" t="s">
        <v>146</v>
      </c>
      <c r="U15" s="179" t="s">
        <v>146</v>
      </c>
      <c r="V15" s="179" t="s">
        <v>146</v>
      </c>
      <c r="W15" s="179" t="s">
        <v>146</v>
      </c>
      <c r="X15" s="179" t="s">
        <v>146</v>
      </c>
      <c r="Y15" s="179" t="s">
        <v>146</v>
      </c>
      <c r="Z15" s="179" t="s">
        <v>146</v>
      </c>
      <c r="AA15" s="179" t="s">
        <v>146</v>
      </c>
      <c r="AB15" s="179" t="s">
        <v>146</v>
      </c>
      <c r="AC15" s="236" t="s">
        <v>146</v>
      </c>
      <c r="AD15" s="102" t="s">
        <v>68</v>
      </c>
      <c r="AF15"/>
      <c r="AG15"/>
      <c r="AH15"/>
      <c r="AI15"/>
      <c r="AJ15"/>
      <c r="AK15"/>
      <c r="AL15"/>
      <c r="AM15"/>
      <c r="AN15"/>
      <c r="AO15"/>
      <c r="AP15"/>
      <c r="AQ15"/>
      <c r="AR15"/>
      <c r="AS15"/>
      <c r="AT15"/>
    </row>
    <row r="16" spans="1:46" ht="12.75" customHeight="1">
      <c r="A16" s="114"/>
      <c r="B16" s="133" t="s">
        <v>15</v>
      </c>
      <c r="C16" s="204" t="s">
        <v>146</v>
      </c>
      <c r="D16" s="204" t="s">
        <v>146</v>
      </c>
      <c r="E16" s="176" t="s">
        <v>146</v>
      </c>
      <c r="F16" s="176" t="s">
        <v>146</v>
      </c>
      <c r="G16" s="176" t="s">
        <v>146</v>
      </c>
      <c r="H16" s="176" t="s">
        <v>146</v>
      </c>
      <c r="I16" s="176" t="s">
        <v>146</v>
      </c>
      <c r="J16" s="176" t="s">
        <v>146</v>
      </c>
      <c r="K16" s="176" t="s">
        <v>146</v>
      </c>
      <c r="L16" s="176" t="s">
        <v>146</v>
      </c>
      <c r="M16" s="176" t="s">
        <v>146</v>
      </c>
      <c r="N16" s="176" t="s">
        <v>146</v>
      </c>
      <c r="O16" s="176" t="s">
        <v>146</v>
      </c>
      <c r="P16" s="176" t="s">
        <v>146</v>
      </c>
      <c r="Q16" s="176">
        <v>0.02</v>
      </c>
      <c r="R16" s="176">
        <v>0.06</v>
      </c>
      <c r="S16" s="218">
        <v>0.197</v>
      </c>
      <c r="T16" s="176">
        <v>0.229</v>
      </c>
      <c r="U16" s="176">
        <v>0.253</v>
      </c>
      <c r="V16" s="176">
        <v>0.254</v>
      </c>
      <c r="W16" s="176">
        <v>0.254</v>
      </c>
      <c r="X16" s="175">
        <v>0.18513600473552563</v>
      </c>
      <c r="Y16" s="175">
        <v>0.1889609012759675</v>
      </c>
      <c r="Z16" s="175">
        <v>0.24139480017087667</v>
      </c>
      <c r="AA16" s="175">
        <v>0.2116849713538852</v>
      </c>
      <c r="AB16" s="175">
        <v>0.1880871216478612</v>
      </c>
      <c r="AC16" s="210">
        <f t="shared" si="3"/>
        <v>-11.147626378527448</v>
      </c>
      <c r="AD16" s="133" t="s">
        <v>15</v>
      </c>
      <c r="AF16"/>
      <c r="AG16"/>
      <c r="AH16"/>
      <c r="AI16"/>
      <c r="AJ16"/>
      <c r="AK16"/>
      <c r="AL16"/>
      <c r="AM16"/>
      <c r="AN16"/>
      <c r="AO16"/>
      <c r="AP16"/>
      <c r="AQ16"/>
      <c r="AR16"/>
      <c r="AS16"/>
      <c r="AT16"/>
    </row>
    <row r="17" spans="1:46" ht="12.75" customHeight="1">
      <c r="A17" s="114"/>
      <c r="B17" s="102" t="s">
        <v>66</v>
      </c>
      <c r="C17" s="202">
        <v>1.023</v>
      </c>
      <c r="D17" s="202">
        <v>3.005</v>
      </c>
      <c r="E17" s="179">
        <v>4.215</v>
      </c>
      <c r="F17" s="179">
        <v>4.78</v>
      </c>
      <c r="G17" s="179">
        <v>5.266</v>
      </c>
      <c r="H17" s="179">
        <v>5.409</v>
      </c>
      <c r="I17" s="179">
        <v>5.479</v>
      </c>
      <c r="J17" s="179">
        <v>5.887</v>
      </c>
      <c r="K17" s="179">
        <v>6.113</v>
      </c>
      <c r="L17" s="179">
        <v>6.534</v>
      </c>
      <c r="M17" s="179">
        <v>6.872</v>
      </c>
      <c r="N17" s="179">
        <v>7.031</v>
      </c>
      <c r="O17" s="179">
        <v>7.466</v>
      </c>
      <c r="P17" s="179">
        <v>7.763</v>
      </c>
      <c r="Q17" s="179">
        <v>7.803</v>
      </c>
      <c r="R17" s="179">
        <v>7.319</v>
      </c>
      <c r="S17" s="179">
        <v>8.279</v>
      </c>
      <c r="T17" s="179">
        <v>9.228</v>
      </c>
      <c r="U17" s="179">
        <v>9.224</v>
      </c>
      <c r="V17" s="179">
        <v>8.936</v>
      </c>
      <c r="W17" s="179">
        <v>9.141</v>
      </c>
      <c r="X17" s="179">
        <v>8.23</v>
      </c>
      <c r="Y17" s="179">
        <v>8.182</v>
      </c>
      <c r="Z17" s="179">
        <v>8.601</v>
      </c>
      <c r="AA17" s="179">
        <v>8.9</v>
      </c>
      <c r="AB17" s="179">
        <v>8.691</v>
      </c>
      <c r="AC17" s="209">
        <f t="shared" si="3"/>
        <v>-2.3483146067415674</v>
      </c>
      <c r="AD17" s="102" t="s">
        <v>66</v>
      </c>
      <c r="AF17"/>
      <c r="AG17"/>
      <c r="AH17"/>
      <c r="AI17"/>
      <c r="AJ17"/>
      <c r="AK17"/>
      <c r="AL17"/>
      <c r="AM17"/>
      <c r="AN17"/>
      <c r="AO17"/>
      <c r="AP17"/>
      <c r="AQ17"/>
      <c r="AR17"/>
      <c r="AS17"/>
      <c r="AT17"/>
    </row>
    <row r="18" spans="1:46" ht="12.75" customHeight="1">
      <c r="A18" s="114"/>
      <c r="B18" s="133" t="s">
        <v>67</v>
      </c>
      <c r="C18" s="204">
        <v>28.184</v>
      </c>
      <c r="D18" s="204">
        <v>34.674</v>
      </c>
      <c r="E18" s="176">
        <v>19.609</v>
      </c>
      <c r="F18" s="176">
        <v>22.501</v>
      </c>
      <c r="G18" s="176">
        <v>23.381</v>
      </c>
      <c r="H18" s="176">
        <v>23.312</v>
      </c>
      <c r="I18" s="176">
        <v>22.187</v>
      </c>
      <c r="J18" s="176">
        <v>22.275</v>
      </c>
      <c r="K18" s="176">
        <v>21.909</v>
      </c>
      <c r="L18" s="176">
        <v>22.089</v>
      </c>
      <c r="M18" s="176">
        <v>21.582</v>
      </c>
      <c r="N18" s="176">
        <v>21.322</v>
      </c>
      <c r="O18" s="176">
        <v>21.669</v>
      </c>
      <c r="P18" s="176">
        <v>22.14</v>
      </c>
      <c r="Q18" s="176">
        <v>20.954</v>
      </c>
      <c r="R18" s="176">
        <v>22.147</v>
      </c>
      <c r="S18" s="176">
        <v>20.559</v>
      </c>
      <c r="T18" s="176">
        <v>20.856</v>
      </c>
      <c r="U18" s="176">
        <v>22.2</v>
      </c>
      <c r="V18" s="176">
        <v>21.141</v>
      </c>
      <c r="W18" s="176">
        <v>20.918</v>
      </c>
      <c r="X18" s="176">
        <v>19.481</v>
      </c>
      <c r="Y18" s="176">
        <v>17.607</v>
      </c>
      <c r="Z18" s="176">
        <v>17.207</v>
      </c>
      <c r="AA18" s="176">
        <v>15.151</v>
      </c>
      <c r="AB18" s="176">
        <v>11.114</v>
      </c>
      <c r="AC18" s="210">
        <f t="shared" si="3"/>
        <v>-26.645105933601727</v>
      </c>
      <c r="AD18" s="133" t="s">
        <v>67</v>
      </c>
      <c r="AF18"/>
      <c r="AG18"/>
      <c r="AH18"/>
      <c r="AI18"/>
      <c r="AJ18"/>
      <c r="AK18"/>
      <c r="AL18"/>
      <c r="AM18"/>
      <c r="AN18"/>
      <c r="AO18"/>
      <c r="AP18"/>
      <c r="AQ18"/>
      <c r="AR18"/>
      <c r="AS18"/>
      <c r="AT18"/>
    </row>
    <row r="19" spans="1:46" ht="12.75" customHeight="1">
      <c r="A19" s="114"/>
      <c r="B19" s="462" t="s">
        <v>148</v>
      </c>
      <c r="C19" s="463" t="s">
        <v>99</v>
      </c>
      <c r="D19" s="463" t="s">
        <v>99</v>
      </c>
      <c r="E19" s="464">
        <v>3.6</v>
      </c>
      <c r="F19" s="464" t="s">
        <v>99</v>
      </c>
      <c r="G19" s="464"/>
      <c r="H19" s="464"/>
      <c r="I19" s="464"/>
      <c r="J19" s="464" t="s">
        <v>99</v>
      </c>
      <c r="K19" s="464"/>
      <c r="L19" s="464">
        <v>0.725</v>
      </c>
      <c r="M19" s="464">
        <v>0.951</v>
      </c>
      <c r="N19" s="464">
        <v>0.623</v>
      </c>
      <c r="O19" s="464">
        <v>0.428</v>
      </c>
      <c r="P19" s="464">
        <v>0.897</v>
      </c>
      <c r="Q19" s="464">
        <v>1.286</v>
      </c>
      <c r="R19" s="464">
        <v>1.335</v>
      </c>
      <c r="S19" s="464">
        <v>1.515</v>
      </c>
      <c r="T19" s="464">
        <v>1.507</v>
      </c>
      <c r="U19" s="464">
        <v>1.255</v>
      </c>
      <c r="V19" s="464">
        <v>1.406</v>
      </c>
      <c r="W19" s="464">
        <v>1.308</v>
      </c>
      <c r="X19" s="464">
        <v>1.445</v>
      </c>
      <c r="Y19" s="464">
        <v>1.3</v>
      </c>
      <c r="Z19" s="464">
        <v>1.028</v>
      </c>
      <c r="AA19" s="464">
        <v>0.838</v>
      </c>
      <c r="AB19" s="464">
        <v>1.127</v>
      </c>
      <c r="AC19" s="607">
        <f t="shared" si="3"/>
        <v>34.48687350835323</v>
      </c>
      <c r="AD19" s="462" t="s">
        <v>148</v>
      </c>
      <c r="AF19"/>
      <c r="AG19"/>
      <c r="AH19"/>
      <c r="AI19"/>
      <c r="AJ19"/>
      <c r="AK19"/>
      <c r="AL19"/>
      <c r="AM19"/>
      <c r="AN19"/>
      <c r="AO19"/>
      <c r="AP19"/>
      <c r="AQ19"/>
      <c r="AR19"/>
      <c r="AS19"/>
      <c r="AT19"/>
    </row>
    <row r="20" spans="1:46" ht="12.75" customHeight="1">
      <c r="A20" s="114"/>
      <c r="B20" s="133" t="s">
        <v>69</v>
      </c>
      <c r="C20" s="204">
        <v>7</v>
      </c>
      <c r="D20" s="204">
        <v>9</v>
      </c>
      <c r="E20" s="176">
        <v>9.2</v>
      </c>
      <c r="F20" s="176">
        <v>9.3</v>
      </c>
      <c r="G20" s="176">
        <v>9.4</v>
      </c>
      <c r="H20" s="176">
        <v>9.5</v>
      </c>
      <c r="I20" s="176">
        <v>9.6</v>
      </c>
      <c r="J20" s="176">
        <v>9.65</v>
      </c>
      <c r="K20" s="176">
        <v>10.1</v>
      </c>
      <c r="L20" s="176">
        <v>9.797</v>
      </c>
      <c r="M20" s="176">
        <v>10.624</v>
      </c>
      <c r="N20" s="176">
        <v>10.409</v>
      </c>
      <c r="O20" s="176">
        <v>10.317</v>
      </c>
      <c r="P20" s="176">
        <v>10.69</v>
      </c>
      <c r="Q20" s="176">
        <v>10.692</v>
      </c>
      <c r="R20" s="176">
        <v>10.656</v>
      </c>
      <c r="S20" s="176">
        <v>10.699</v>
      </c>
      <c r="T20" s="176">
        <v>11.423</v>
      </c>
      <c r="U20" s="176">
        <v>11.447</v>
      </c>
      <c r="V20" s="176">
        <v>11.388</v>
      </c>
      <c r="W20" s="176">
        <v>11.266</v>
      </c>
      <c r="X20" s="176">
        <v>10.497</v>
      </c>
      <c r="Y20" s="176">
        <v>10.4</v>
      </c>
      <c r="Z20" s="176">
        <v>9.954</v>
      </c>
      <c r="AA20" s="176">
        <v>10.066</v>
      </c>
      <c r="AB20" s="176">
        <v>10.024</v>
      </c>
      <c r="AC20" s="210">
        <f t="shared" si="3"/>
        <v>-0.417246175243406</v>
      </c>
      <c r="AD20" s="133" t="s">
        <v>69</v>
      </c>
      <c r="AF20"/>
      <c r="AG20"/>
      <c r="AH20"/>
      <c r="AI20"/>
      <c r="AJ20"/>
      <c r="AK20"/>
      <c r="AL20"/>
      <c r="AM20"/>
      <c r="AN20"/>
      <c r="AO20"/>
      <c r="AP20"/>
      <c r="AQ20"/>
      <c r="AR20"/>
      <c r="AS20"/>
      <c r="AT20"/>
    </row>
    <row r="21" spans="1:46" ht="12.75" customHeight="1">
      <c r="A21" s="114"/>
      <c r="B21" s="102" t="s">
        <v>71</v>
      </c>
      <c r="C21" s="212" t="s">
        <v>146</v>
      </c>
      <c r="D21" s="212" t="s">
        <v>146</v>
      </c>
      <c r="E21" s="212" t="s">
        <v>146</v>
      </c>
      <c r="F21" s="177" t="s">
        <v>146</v>
      </c>
      <c r="G21" s="177" t="s">
        <v>146</v>
      </c>
      <c r="H21" s="177" t="s">
        <v>146</v>
      </c>
      <c r="I21" s="177" t="s">
        <v>146</v>
      </c>
      <c r="J21" s="177" t="s">
        <v>146</v>
      </c>
      <c r="K21" s="177" t="s">
        <v>146</v>
      </c>
      <c r="L21" s="177" t="s">
        <v>146</v>
      </c>
      <c r="M21" s="177" t="s">
        <v>146</v>
      </c>
      <c r="N21" s="177" t="s">
        <v>146</v>
      </c>
      <c r="O21" s="177" t="s">
        <v>146</v>
      </c>
      <c r="P21" s="177" t="s">
        <v>146</v>
      </c>
      <c r="Q21" s="177" t="s">
        <v>146</v>
      </c>
      <c r="R21" s="177" t="s">
        <v>146</v>
      </c>
      <c r="S21" s="177" t="s">
        <v>146</v>
      </c>
      <c r="T21" s="177" t="s">
        <v>146</v>
      </c>
      <c r="U21" s="177" t="s">
        <v>146</v>
      </c>
      <c r="V21" s="177" t="s">
        <v>146</v>
      </c>
      <c r="W21" s="177" t="s">
        <v>146</v>
      </c>
      <c r="X21" s="177" t="s">
        <v>146</v>
      </c>
      <c r="Y21" s="177" t="s">
        <v>146</v>
      </c>
      <c r="Z21" s="177" t="s">
        <v>146</v>
      </c>
      <c r="AA21" s="177" t="s">
        <v>146</v>
      </c>
      <c r="AB21" s="241" t="s">
        <v>146</v>
      </c>
      <c r="AC21" s="235" t="s">
        <v>146</v>
      </c>
      <c r="AD21" s="102" t="s">
        <v>71</v>
      </c>
      <c r="AF21"/>
      <c r="AG21"/>
      <c r="AH21"/>
      <c r="AI21"/>
      <c r="AJ21"/>
      <c r="AK21"/>
      <c r="AL21"/>
      <c r="AM21"/>
      <c r="AN21"/>
      <c r="AO21"/>
      <c r="AP21"/>
      <c r="AQ21"/>
      <c r="AR21"/>
      <c r="AS21"/>
      <c r="AT21"/>
    </row>
    <row r="22" spans="1:46" ht="12.75" customHeight="1">
      <c r="A22" s="114"/>
      <c r="B22" s="133" t="s">
        <v>72</v>
      </c>
      <c r="C22" s="331" t="s">
        <v>234</v>
      </c>
      <c r="D22" s="331" t="s">
        <v>234</v>
      </c>
      <c r="E22" s="331" t="s">
        <v>234</v>
      </c>
      <c r="F22" s="176" t="s">
        <v>234</v>
      </c>
      <c r="G22" s="176" t="s">
        <v>234</v>
      </c>
      <c r="H22" s="176" t="s">
        <v>235</v>
      </c>
      <c r="I22" s="176">
        <v>4.6</v>
      </c>
      <c r="J22" s="176">
        <v>5.316</v>
      </c>
      <c r="K22" s="176">
        <v>6.06</v>
      </c>
      <c r="L22" s="176">
        <v>6.362</v>
      </c>
      <c r="M22" s="176">
        <v>6.569</v>
      </c>
      <c r="N22" s="176">
        <v>6.055</v>
      </c>
      <c r="O22" s="176">
        <v>6.467</v>
      </c>
      <c r="P22" s="176">
        <v>7.524</v>
      </c>
      <c r="Q22" s="176">
        <v>5.071</v>
      </c>
      <c r="R22" s="176">
        <v>3.15</v>
      </c>
      <c r="S22" s="176">
        <v>3.252</v>
      </c>
      <c r="T22" s="176">
        <v>3.381</v>
      </c>
      <c r="U22" s="176">
        <v>3.628</v>
      </c>
      <c r="V22" s="176">
        <v>2.711</v>
      </c>
      <c r="W22" s="176">
        <v>2.097</v>
      </c>
      <c r="X22" s="176">
        <v>1.573</v>
      </c>
      <c r="Y22" s="176">
        <v>2.35</v>
      </c>
      <c r="Z22" s="176">
        <v>2.416</v>
      </c>
      <c r="AA22" s="176">
        <v>2.631</v>
      </c>
      <c r="AB22" s="242">
        <v>2.279</v>
      </c>
      <c r="AC22" s="210">
        <f t="shared" si="3"/>
        <v>-13.378943367540856</v>
      </c>
      <c r="AD22" s="133" t="s">
        <v>72</v>
      </c>
      <c r="AF22"/>
      <c r="AG22"/>
      <c r="AH22"/>
      <c r="AI22"/>
      <c r="AJ22"/>
      <c r="AK22"/>
      <c r="AL22"/>
      <c r="AM22"/>
      <c r="AN22"/>
      <c r="AO22"/>
      <c r="AP22"/>
      <c r="AQ22"/>
      <c r="AR22"/>
      <c r="AS22"/>
      <c r="AT22"/>
    </row>
    <row r="23" spans="1:46" ht="12.75" customHeight="1">
      <c r="A23" s="114"/>
      <c r="B23" s="102" t="s">
        <v>73</v>
      </c>
      <c r="C23" s="212" t="s">
        <v>234</v>
      </c>
      <c r="D23" s="212" t="s">
        <v>234</v>
      </c>
      <c r="E23" s="212" t="s">
        <v>234</v>
      </c>
      <c r="F23" s="177" t="s">
        <v>234</v>
      </c>
      <c r="G23" s="177" t="s">
        <v>234</v>
      </c>
      <c r="H23" s="177">
        <v>2</v>
      </c>
      <c r="I23" s="177">
        <v>1.9</v>
      </c>
      <c r="J23" s="177">
        <v>2.006</v>
      </c>
      <c r="K23" s="177">
        <v>2.308</v>
      </c>
      <c r="L23" s="177">
        <v>2.656</v>
      </c>
      <c r="M23" s="177">
        <v>2.964</v>
      </c>
      <c r="N23" s="177">
        <v>2.627</v>
      </c>
      <c r="O23" s="177">
        <v>3.4566999999999997</v>
      </c>
      <c r="P23" s="177">
        <v>4.7796</v>
      </c>
      <c r="Q23" s="177">
        <v>4.8916</v>
      </c>
      <c r="R23" s="177">
        <v>5.0848</v>
      </c>
      <c r="S23" s="177">
        <v>4.2874</v>
      </c>
      <c r="T23" s="177">
        <v>4.406</v>
      </c>
      <c r="U23" s="177">
        <v>2.67</v>
      </c>
      <c r="V23" s="177">
        <v>1.032</v>
      </c>
      <c r="W23" s="177">
        <v>0.527</v>
      </c>
      <c r="X23" s="177">
        <v>0.4103</v>
      </c>
      <c r="Y23" s="177">
        <v>0.5786</v>
      </c>
      <c r="Z23" s="177">
        <v>0.5913999999999999</v>
      </c>
      <c r="AA23" s="177">
        <v>0.6322</v>
      </c>
      <c r="AB23" s="241">
        <v>0.563</v>
      </c>
      <c r="AC23" s="216">
        <f t="shared" si="3"/>
        <v>-10.945903195191391</v>
      </c>
      <c r="AD23" s="102" t="s">
        <v>73</v>
      </c>
      <c r="AF23"/>
      <c r="AG23"/>
      <c r="AH23"/>
      <c r="AI23"/>
      <c r="AJ23"/>
      <c r="AK23"/>
      <c r="AL23"/>
      <c r="AM23"/>
      <c r="AN23"/>
      <c r="AO23"/>
      <c r="AP23"/>
      <c r="AQ23"/>
      <c r="AR23"/>
      <c r="AS23"/>
      <c r="AT23"/>
    </row>
    <row r="24" spans="1:46" ht="12.75" customHeight="1">
      <c r="A24" s="114"/>
      <c r="B24" s="133" t="s">
        <v>76</v>
      </c>
      <c r="C24" s="331" t="s">
        <v>146</v>
      </c>
      <c r="D24" s="331" t="s">
        <v>146</v>
      </c>
      <c r="E24" s="331" t="s">
        <v>146</v>
      </c>
      <c r="F24" s="176" t="s">
        <v>146</v>
      </c>
      <c r="G24" s="176" t="s">
        <v>146</v>
      </c>
      <c r="H24" s="176" t="s">
        <v>146</v>
      </c>
      <c r="I24" s="176" t="s">
        <v>146</v>
      </c>
      <c r="J24" s="176" t="s">
        <v>146</v>
      </c>
      <c r="K24" s="176" t="s">
        <v>146</v>
      </c>
      <c r="L24" s="176" t="s">
        <v>146</v>
      </c>
      <c r="M24" s="176" t="s">
        <v>146</v>
      </c>
      <c r="N24" s="176" t="s">
        <v>146</v>
      </c>
      <c r="O24" s="176" t="s">
        <v>146</v>
      </c>
      <c r="P24" s="176" t="s">
        <v>146</v>
      </c>
      <c r="Q24" s="176" t="s">
        <v>146</v>
      </c>
      <c r="R24" s="176" t="s">
        <v>146</v>
      </c>
      <c r="S24" s="176" t="s">
        <v>146</v>
      </c>
      <c r="T24" s="176" t="s">
        <v>146</v>
      </c>
      <c r="U24" s="176" t="s">
        <v>146</v>
      </c>
      <c r="V24" s="176" t="s">
        <v>146</v>
      </c>
      <c r="W24" s="176" t="s">
        <v>146</v>
      </c>
      <c r="X24" s="176" t="s">
        <v>146</v>
      </c>
      <c r="Y24" s="176" t="s">
        <v>146</v>
      </c>
      <c r="Z24" s="176" t="s">
        <v>146</v>
      </c>
      <c r="AA24" s="176" t="s">
        <v>146</v>
      </c>
      <c r="AB24" s="242" t="s">
        <v>146</v>
      </c>
      <c r="AC24" s="234" t="s">
        <v>146</v>
      </c>
      <c r="AD24" s="133" t="s">
        <v>76</v>
      </c>
      <c r="AF24"/>
      <c r="AG24"/>
      <c r="AH24"/>
      <c r="AI24"/>
      <c r="AJ24"/>
      <c r="AK24"/>
      <c r="AL24"/>
      <c r="AM24"/>
      <c r="AN24"/>
      <c r="AO24"/>
      <c r="AP24"/>
      <c r="AQ24"/>
      <c r="AR24"/>
      <c r="AS24"/>
      <c r="AT24"/>
    </row>
    <row r="25" spans="1:46" ht="12.75" customHeight="1">
      <c r="A25" s="114"/>
      <c r="B25" s="102" t="s">
        <v>77</v>
      </c>
      <c r="C25" s="212" t="s">
        <v>99</v>
      </c>
      <c r="D25" s="212" t="s">
        <v>99</v>
      </c>
      <c r="E25" s="212">
        <v>5.287</v>
      </c>
      <c r="F25" s="177" t="s">
        <v>99</v>
      </c>
      <c r="G25" s="177" t="s">
        <v>99</v>
      </c>
      <c r="H25" s="177" t="s">
        <v>99</v>
      </c>
      <c r="I25" s="177" t="s">
        <v>99</v>
      </c>
      <c r="J25" s="177">
        <v>2.1813</v>
      </c>
      <c r="K25" s="177">
        <v>2.3511</v>
      </c>
      <c r="L25" s="177">
        <v>1.81</v>
      </c>
      <c r="M25" s="177">
        <v>1.937</v>
      </c>
      <c r="N25" s="177">
        <v>2.316</v>
      </c>
      <c r="O25" s="177">
        <v>2.263</v>
      </c>
      <c r="P25" s="177">
        <v>2.521</v>
      </c>
      <c r="Q25" s="177">
        <v>2.445</v>
      </c>
      <c r="R25" s="177">
        <v>2.416</v>
      </c>
      <c r="S25" s="177">
        <v>2.546</v>
      </c>
      <c r="T25" s="177">
        <v>2.683</v>
      </c>
      <c r="U25" s="177">
        <v>3.041</v>
      </c>
      <c r="V25" s="177">
        <v>2.987</v>
      </c>
      <c r="W25" s="177">
        <v>2.9747</v>
      </c>
      <c r="X25" s="177">
        <v>3.0104</v>
      </c>
      <c r="Y25" s="177">
        <v>3.2137</v>
      </c>
      <c r="Z25" s="177">
        <v>3.119</v>
      </c>
      <c r="AA25" s="177">
        <v>2.75971</v>
      </c>
      <c r="AB25" s="241">
        <v>2.70246</v>
      </c>
      <c r="AC25" s="216">
        <f t="shared" si="3"/>
        <v>-2.0744933344445684</v>
      </c>
      <c r="AD25" s="102" t="s">
        <v>77</v>
      </c>
      <c r="AF25"/>
      <c r="AG25"/>
      <c r="AH25"/>
      <c r="AI25"/>
      <c r="AJ25"/>
      <c r="AK25"/>
      <c r="AL25"/>
      <c r="AM25"/>
      <c r="AN25"/>
      <c r="AO25"/>
      <c r="AP25"/>
      <c r="AQ25"/>
      <c r="AR25"/>
      <c r="AS25"/>
      <c r="AT25"/>
    </row>
    <row r="26" spans="1:46" ht="12.75" customHeight="1">
      <c r="A26" s="114"/>
      <c r="B26" s="133" t="s">
        <v>78</v>
      </c>
      <c r="C26" s="450" t="s">
        <v>146</v>
      </c>
      <c r="D26" s="450" t="s">
        <v>146</v>
      </c>
      <c r="E26" s="450" t="s">
        <v>146</v>
      </c>
      <c r="F26" s="175" t="s">
        <v>146</v>
      </c>
      <c r="G26" s="175" t="s">
        <v>146</v>
      </c>
      <c r="H26" s="175" t="s">
        <v>146</v>
      </c>
      <c r="I26" s="175" t="s">
        <v>146</v>
      </c>
      <c r="J26" s="175" t="s">
        <v>146</v>
      </c>
      <c r="K26" s="175" t="s">
        <v>146</v>
      </c>
      <c r="L26" s="175" t="s">
        <v>146</v>
      </c>
      <c r="M26" s="175" t="s">
        <v>146</v>
      </c>
      <c r="N26" s="175" t="s">
        <v>146</v>
      </c>
      <c r="O26" s="175" t="s">
        <v>146</v>
      </c>
      <c r="P26" s="175" t="s">
        <v>146</v>
      </c>
      <c r="Q26" s="175" t="s">
        <v>146</v>
      </c>
      <c r="R26" s="175" t="s">
        <v>146</v>
      </c>
      <c r="S26" s="175" t="s">
        <v>146</v>
      </c>
      <c r="T26" s="175" t="s">
        <v>146</v>
      </c>
      <c r="U26" s="175" t="s">
        <v>146</v>
      </c>
      <c r="V26" s="175" t="s">
        <v>146</v>
      </c>
      <c r="W26" s="175" t="s">
        <v>146</v>
      </c>
      <c r="X26" s="175" t="s">
        <v>146</v>
      </c>
      <c r="Y26" s="175" t="s">
        <v>146</v>
      </c>
      <c r="Z26" s="175" t="s">
        <v>146</v>
      </c>
      <c r="AA26" s="175" t="s">
        <v>146</v>
      </c>
      <c r="AB26" s="451" t="s">
        <v>146</v>
      </c>
      <c r="AC26" s="452" t="s">
        <v>146</v>
      </c>
      <c r="AD26" s="133" t="s">
        <v>78</v>
      </c>
      <c r="AF26"/>
      <c r="AG26"/>
      <c r="AH26"/>
      <c r="AI26"/>
      <c r="AJ26"/>
      <c r="AK26"/>
      <c r="AL26"/>
      <c r="AM26"/>
      <c r="AN26"/>
      <c r="AO26"/>
      <c r="AP26"/>
      <c r="AQ26"/>
      <c r="AR26"/>
      <c r="AS26"/>
      <c r="AT26"/>
    </row>
    <row r="27" spans="1:46" ht="12.75" customHeight="1">
      <c r="A27" s="114"/>
      <c r="B27" s="102" t="s">
        <v>16</v>
      </c>
      <c r="C27" s="212">
        <v>4.075</v>
      </c>
      <c r="D27" s="212">
        <v>5.044</v>
      </c>
      <c r="E27" s="212">
        <v>4.873</v>
      </c>
      <c r="F27" s="177">
        <v>5.43</v>
      </c>
      <c r="G27" s="177">
        <v>5.503</v>
      </c>
      <c r="H27" s="177">
        <v>5.491</v>
      </c>
      <c r="I27" s="177">
        <v>5.621</v>
      </c>
      <c r="J27" s="177">
        <v>5.278</v>
      </c>
      <c r="K27" s="177">
        <v>5.96</v>
      </c>
      <c r="L27" s="177">
        <v>6.04</v>
      </c>
      <c r="M27" s="177">
        <v>6.043</v>
      </c>
      <c r="N27" s="177">
        <v>6.008</v>
      </c>
      <c r="O27" s="177">
        <v>5.869</v>
      </c>
      <c r="P27" s="177">
        <v>5.827</v>
      </c>
      <c r="Q27" s="177">
        <v>6.017</v>
      </c>
      <c r="R27" s="177">
        <v>6.131</v>
      </c>
      <c r="S27" s="177">
        <v>6.09</v>
      </c>
      <c r="T27" s="177">
        <v>5.939</v>
      </c>
      <c r="U27" s="177">
        <v>5.828</v>
      </c>
      <c r="V27" s="177">
        <v>5.583</v>
      </c>
      <c r="W27" s="177">
        <v>5.967</v>
      </c>
      <c r="X27" s="177">
        <v>5.622</v>
      </c>
      <c r="Y27" s="177">
        <v>5.647</v>
      </c>
      <c r="Z27" s="177">
        <v>5.502</v>
      </c>
      <c r="AA27" s="177">
        <v>5.572</v>
      </c>
      <c r="AB27" s="241">
        <v>5.405</v>
      </c>
      <c r="AC27" s="216">
        <f t="shared" si="3"/>
        <v>-2.9971284996410503</v>
      </c>
      <c r="AD27" s="102" t="s">
        <v>16</v>
      </c>
      <c r="AF27"/>
      <c r="AG27"/>
      <c r="AH27"/>
      <c r="AI27"/>
      <c r="AJ27"/>
      <c r="AK27"/>
      <c r="AL27"/>
      <c r="AM27"/>
      <c r="AN27"/>
      <c r="AO27"/>
      <c r="AP27"/>
      <c r="AQ27"/>
      <c r="AR27"/>
      <c r="AS27"/>
      <c r="AT27"/>
    </row>
    <row r="28" spans="1:46" ht="12.75" customHeight="1">
      <c r="A28" s="114"/>
      <c r="B28" s="133" t="s">
        <v>81</v>
      </c>
      <c r="C28" s="331">
        <v>3.62</v>
      </c>
      <c r="D28" s="331">
        <v>7.054</v>
      </c>
      <c r="E28" s="331">
        <v>6.37</v>
      </c>
      <c r="F28" s="176">
        <v>6.654</v>
      </c>
      <c r="G28" s="176">
        <v>6.701</v>
      </c>
      <c r="H28" s="176">
        <v>6.721</v>
      </c>
      <c r="I28" s="176">
        <v>6.99</v>
      </c>
      <c r="J28" s="176">
        <v>6.766</v>
      </c>
      <c r="K28" s="176">
        <v>7.073</v>
      </c>
      <c r="L28" s="176">
        <v>8.02</v>
      </c>
      <c r="M28" s="176">
        <v>8.164</v>
      </c>
      <c r="N28" s="176">
        <v>7.631</v>
      </c>
      <c r="O28" s="175">
        <v>7.563</v>
      </c>
      <c r="P28" s="175">
        <v>8.071</v>
      </c>
      <c r="Q28" s="175">
        <v>7.961</v>
      </c>
      <c r="R28" s="175">
        <v>7.763</v>
      </c>
      <c r="S28" s="176">
        <v>7.571</v>
      </c>
      <c r="T28" s="176">
        <v>7.78</v>
      </c>
      <c r="U28" s="176">
        <v>7.639</v>
      </c>
      <c r="V28" s="176">
        <v>7.226</v>
      </c>
      <c r="W28" s="176">
        <v>7.521</v>
      </c>
      <c r="X28" s="176">
        <v>7.304</v>
      </c>
      <c r="Y28" s="176">
        <v>7</v>
      </c>
      <c r="Z28" s="176">
        <v>7.228</v>
      </c>
      <c r="AA28" s="176">
        <v>7.146</v>
      </c>
      <c r="AB28" s="242">
        <v>8.392</v>
      </c>
      <c r="AC28" s="210">
        <f t="shared" si="3"/>
        <v>17.436328015673098</v>
      </c>
      <c r="AD28" s="133" t="s">
        <v>81</v>
      </c>
      <c r="AF28"/>
      <c r="AG28"/>
      <c r="AH28"/>
      <c r="AI28"/>
      <c r="AJ28"/>
      <c r="AK28"/>
      <c r="AL28"/>
      <c r="AM28"/>
      <c r="AN28"/>
      <c r="AO28"/>
      <c r="AP28"/>
      <c r="AQ28"/>
      <c r="AR28"/>
      <c r="AS28"/>
      <c r="AT28"/>
    </row>
    <row r="29" spans="1:46" ht="12.75" customHeight="1">
      <c r="A29" s="114"/>
      <c r="B29" s="462" t="s">
        <v>80</v>
      </c>
      <c r="C29" s="463">
        <v>6.98</v>
      </c>
      <c r="D29" s="463">
        <v>17.12</v>
      </c>
      <c r="E29" s="464">
        <v>13.887</v>
      </c>
      <c r="F29" s="464">
        <v>10.39</v>
      </c>
      <c r="G29" s="464">
        <v>11.93</v>
      </c>
      <c r="H29" s="464">
        <v>12.2</v>
      </c>
      <c r="I29" s="464">
        <v>14.3</v>
      </c>
      <c r="J29" s="464">
        <v>13.493</v>
      </c>
      <c r="K29" s="464">
        <v>15.33</v>
      </c>
      <c r="L29" s="464">
        <v>14.97</v>
      </c>
      <c r="M29" s="464">
        <v>18.448</v>
      </c>
      <c r="N29" s="464">
        <v>19.417</v>
      </c>
      <c r="O29" s="464">
        <v>20.354</v>
      </c>
      <c r="P29" s="464">
        <v>21.0927</v>
      </c>
      <c r="Q29" s="464">
        <v>20.854</v>
      </c>
      <c r="R29" s="464">
        <v>23.871</v>
      </c>
      <c r="S29" s="464">
        <v>24.806</v>
      </c>
      <c r="T29" s="464">
        <v>25.388</v>
      </c>
      <c r="U29" s="464">
        <v>25.588099999999997</v>
      </c>
      <c r="V29" s="464">
        <v>23.513</v>
      </c>
      <c r="W29" s="464">
        <v>21.2473</v>
      </c>
      <c r="X29" s="464">
        <v>22.908</v>
      </c>
      <c r="Y29" s="464">
        <v>24.157</v>
      </c>
      <c r="Z29" s="464">
        <v>23.461</v>
      </c>
      <c r="AA29" s="464">
        <v>22.325</v>
      </c>
      <c r="AB29" s="544">
        <v>20.112</v>
      </c>
      <c r="AC29" s="607">
        <f t="shared" si="3"/>
        <v>-9.912653975363952</v>
      </c>
      <c r="AD29" s="462" t="s">
        <v>80</v>
      </c>
      <c r="AF29"/>
      <c r="AG29"/>
      <c r="AH29"/>
      <c r="AI29"/>
      <c r="AJ29"/>
      <c r="AK29"/>
      <c r="AL29"/>
      <c r="AM29"/>
      <c r="AN29"/>
      <c r="AO29"/>
      <c r="AP29"/>
      <c r="AQ29"/>
      <c r="AR29"/>
      <c r="AS29"/>
      <c r="AT29"/>
    </row>
    <row r="30" spans="1:46" ht="12.75" customHeight="1">
      <c r="A30" s="114"/>
      <c r="B30" s="133" t="s">
        <v>92</v>
      </c>
      <c r="C30" s="450" t="s">
        <v>146</v>
      </c>
      <c r="D30" s="450" t="s">
        <v>146</v>
      </c>
      <c r="E30" s="450"/>
      <c r="F30" s="175" t="s">
        <v>146</v>
      </c>
      <c r="G30" s="175" t="s">
        <v>146</v>
      </c>
      <c r="H30" s="175" t="s">
        <v>146</v>
      </c>
      <c r="I30" s="175" t="s">
        <v>146</v>
      </c>
      <c r="J30" s="175" t="s">
        <v>146</v>
      </c>
      <c r="K30" s="175" t="s">
        <v>146</v>
      </c>
      <c r="L30" s="175" t="s">
        <v>146</v>
      </c>
      <c r="M30" s="175" t="s">
        <v>146</v>
      </c>
      <c r="N30" s="175" t="s">
        <v>146</v>
      </c>
      <c r="O30" s="175">
        <v>0.5</v>
      </c>
      <c r="P30" s="175">
        <v>0.5</v>
      </c>
      <c r="Q30" s="175">
        <v>0.5</v>
      </c>
      <c r="R30" s="175">
        <v>0.5</v>
      </c>
      <c r="S30" s="175">
        <v>0.5039606</v>
      </c>
      <c r="T30" s="175">
        <v>0.48450380000000004</v>
      </c>
      <c r="U30" s="175">
        <v>0.4535498</v>
      </c>
      <c r="V30" s="175">
        <v>0.477576</v>
      </c>
      <c r="W30" s="175">
        <v>0.44971740000000004</v>
      </c>
      <c r="X30" s="175">
        <v>0.41286740000000005</v>
      </c>
      <c r="Y30" s="175">
        <v>0.3826504</v>
      </c>
      <c r="Z30" s="175">
        <v>0.36348840000000004</v>
      </c>
      <c r="AA30" s="175">
        <v>0.3595086</v>
      </c>
      <c r="AB30" s="451">
        <v>0.350075</v>
      </c>
      <c r="AC30" s="205">
        <f t="shared" si="3"/>
        <v>-2.6240262402623955</v>
      </c>
      <c r="AD30" s="133" t="s">
        <v>92</v>
      </c>
      <c r="AF30"/>
      <c r="AG30"/>
      <c r="AH30"/>
      <c r="AI30"/>
      <c r="AJ30"/>
      <c r="AK30"/>
      <c r="AL30"/>
      <c r="AM30"/>
      <c r="AN30"/>
      <c r="AO30"/>
      <c r="AP30"/>
      <c r="AQ30"/>
      <c r="AR30"/>
      <c r="AS30"/>
      <c r="AT30"/>
    </row>
    <row r="31" spans="1:46" ht="12.75" customHeight="1">
      <c r="A31" s="114"/>
      <c r="B31" s="462" t="s">
        <v>102</v>
      </c>
      <c r="C31" s="463">
        <v>1.84</v>
      </c>
      <c r="D31" s="463">
        <v>5.19</v>
      </c>
      <c r="E31" s="464">
        <v>5.062</v>
      </c>
      <c r="F31" s="464">
        <v>3.18</v>
      </c>
      <c r="G31" s="464">
        <v>2.558</v>
      </c>
      <c r="H31" s="464">
        <v>2.471</v>
      </c>
      <c r="I31" s="464">
        <v>2.801</v>
      </c>
      <c r="J31" s="464">
        <v>2.936</v>
      </c>
      <c r="K31" s="464">
        <v>2.662</v>
      </c>
      <c r="L31" s="464">
        <v>2.296</v>
      </c>
      <c r="M31" s="464">
        <v>2.258</v>
      </c>
      <c r="N31" s="464">
        <v>1.636</v>
      </c>
      <c r="O31" s="464">
        <v>1.392</v>
      </c>
      <c r="P31" s="464">
        <v>1.77</v>
      </c>
      <c r="Q31" s="464">
        <v>1.78</v>
      </c>
      <c r="R31" s="464">
        <v>1.59</v>
      </c>
      <c r="S31" s="464">
        <v>1.898</v>
      </c>
      <c r="T31" s="464">
        <v>2.21</v>
      </c>
      <c r="U31" s="464">
        <v>2.027</v>
      </c>
      <c r="V31" s="464">
        <v>1.849</v>
      </c>
      <c r="W31" s="464">
        <v>1.72</v>
      </c>
      <c r="X31" s="464">
        <v>1.243</v>
      </c>
      <c r="Y31" s="464">
        <v>0.996</v>
      </c>
      <c r="Z31" s="464">
        <v>0.879</v>
      </c>
      <c r="AA31" s="464">
        <v>0.785</v>
      </c>
      <c r="AB31" s="544">
        <v>0.829</v>
      </c>
      <c r="AC31" s="607">
        <f t="shared" si="3"/>
        <v>5.605095541401269</v>
      </c>
      <c r="AD31" s="462" t="s">
        <v>102</v>
      </c>
      <c r="AF31"/>
      <c r="AG31"/>
      <c r="AH31"/>
      <c r="AI31"/>
      <c r="AJ31"/>
      <c r="AK31"/>
      <c r="AL31"/>
      <c r="AM31"/>
      <c r="AN31"/>
      <c r="AO31"/>
      <c r="AP31"/>
      <c r="AQ31"/>
      <c r="AR31"/>
      <c r="AS31"/>
      <c r="AT31"/>
    </row>
    <row r="32" spans="1:46" ht="12.75" customHeight="1">
      <c r="A32" s="114"/>
      <c r="B32" s="133" t="s">
        <v>83</v>
      </c>
      <c r="C32" s="450" t="s">
        <v>146</v>
      </c>
      <c r="D32" s="450" t="s">
        <v>146</v>
      </c>
      <c r="E32" s="450" t="s">
        <v>146</v>
      </c>
      <c r="F32" s="175" t="s">
        <v>146</v>
      </c>
      <c r="G32" s="175" t="s">
        <v>146</v>
      </c>
      <c r="H32" s="175" t="s">
        <v>146</v>
      </c>
      <c r="I32" s="175" t="s">
        <v>146</v>
      </c>
      <c r="J32" s="175" t="s">
        <v>146</v>
      </c>
      <c r="K32" s="175" t="s">
        <v>146</v>
      </c>
      <c r="L32" s="175" t="s">
        <v>146</v>
      </c>
      <c r="M32" s="175" t="s">
        <v>146</v>
      </c>
      <c r="N32" s="175" t="s">
        <v>146</v>
      </c>
      <c r="O32" s="175" t="s">
        <v>146</v>
      </c>
      <c r="P32" s="175" t="s">
        <v>146</v>
      </c>
      <c r="Q32" s="175" t="s">
        <v>146</v>
      </c>
      <c r="R32" s="175" t="s">
        <v>146</v>
      </c>
      <c r="S32" s="175" t="s">
        <v>146</v>
      </c>
      <c r="T32" s="175" t="s">
        <v>146</v>
      </c>
      <c r="U32" s="175" t="s">
        <v>146</v>
      </c>
      <c r="V32" s="175" t="s">
        <v>146</v>
      </c>
      <c r="W32" s="175" t="s">
        <v>146</v>
      </c>
      <c r="X32" s="175" t="s">
        <v>146</v>
      </c>
      <c r="Y32" s="175" t="s">
        <v>146</v>
      </c>
      <c r="Z32" s="175" t="s">
        <v>146</v>
      </c>
      <c r="AA32" s="175" t="s">
        <v>146</v>
      </c>
      <c r="AB32" s="451" t="s">
        <v>146</v>
      </c>
      <c r="AC32" s="452" t="s">
        <v>146</v>
      </c>
      <c r="AD32" s="133" t="s">
        <v>83</v>
      </c>
      <c r="AF32"/>
      <c r="AG32"/>
      <c r="AH32"/>
      <c r="AI32"/>
      <c r="AJ32"/>
      <c r="AK32"/>
      <c r="AL32"/>
      <c r="AM32"/>
      <c r="AN32"/>
      <c r="AO32"/>
      <c r="AP32"/>
      <c r="AQ32"/>
      <c r="AR32"/>
      <c r="AS32"/>
      <c r="AT32"/>
    </row>
    <row r="33" spans="1:46" ht="12.75" customHeight="1">
      <c r="A33" s="114"/>
      <c r="B33" s="462" t="s">
        <v>85</v>
      </c>
      <c r="C33" s="463"/>
      <c r="D33" s="463"/>
      <c r="E33" s="464"/>
      <c r="F33" s="464"/>
      <c r="G33" s="464"/>
      <c r="H33" s="464">
        <v>5.4</v>
      </c>
      <c r="I33" s="464">
        <v>6.2</v>
      </c>
      <c r="J33" s="470">
        <v>6.1</v>
      </c>
      <c r="K33" s="470">
        <v>5.8</v>
      </c>
      <c r="L33" s="470">
        <v>5.5</v>
      </c>
      <c r="M33" s="470">
        <v>5.6</v>
      </c>
      <c r="N33" s="470">
        <v>5.2</v>
      </c>
      <c r="O33" s="470">
        <v>4.6</v>
      </c>
      <c r="P33" s="470">
        <v>4.8</v>
      </c>
      <c r="Q33" s="470">
        <v>4.7</v>
      </c>
      <c r="R33" s="470">
        <v>5</v>
      </c>
      <c r="S33" s="470">
        <v>5.2</v>
      </c>
      <c r="T33" s="470">
        <v>5.3</v>
      </c>
      <c r="U33" s="470">
        <v>5.6</v>
      </c>
      <c r="V33" s="470">
        <v>5.3</v>
      </c>
      <c r="W33" s="470">
        <v>5.3</v>
      </c>
      <c r="X33" s="470">
        <v>5.35</v>
      </c>
      <c r="Y33" s="470">
        <v>5.0375</v>
      </c>
      <c r="Z33" s="470">
        <v>4.96</v>
      </c>
      <c r="AA33" s="470">
        <v>4.209</v>
      </c>
      <c r="AB33" s="613">
        <f>4.894</f>
        <v>4.894</v>
      </c>
      <c r="AC33" s="614">
        <f t="shared" si="3"/>
        <v>16.27464956046569</v>
      </c>
      <c r="AD33" s="462" t="s">
        <v>85</v>
      </c>
      <c r="AF33"/>
      <c r="AG33"/>
      <c r="AH33"/>
      <c r="AI33"/>
      <c r="AJ33"/>
      <c r="AK33"/>
      <c r="AL33"/>
      <c r="AM33"/>
      <c r="AN33"/>
      <c r="AO33"/>
      <c r="AP33"/>
      <c r="AQ33"/>
      <c r="AR33"/>
      <c r="AS33"/>
      <c r="AT33"/>
    </row>
    <row r="34" spans="1:46" ht="12.75" customHeight="1">
      <c r="A34" s="114"/>
      <c r="B34" s="133" t="s">
        <v>87</v>
      </c>
      <c r="C34" s="331" t="s">
        <v>146</v>
      </c>
      <c r="D34" s="331" t="s">
        <v>146</v>
      </c>
      <c r="E34" s="331" t="s">
        <v>146</v>
      </c>
      <c r="F34" s="176" t="s">
        <v>146</v>
      </c>
      <c r="G34" s="176" t="s">
        <v>146</v>
      </c>
      <c r="H34" s="176" t="s">
        <v>146</v>
      </c>
      <c r="I34" s="176" t="s">
        <v>146</v>
      </c>
      <c r="J34" s="176" t="s">
        <v>146</v>
      </c>
      <c r="K34" s="176" t="s">
        <v>146</v>
      </c>
      <c r="L34" s="176" t="s">
        <v>146</v>
      </c>
      <c r="M34" s="176" t="s">
        <v>146</v>
      </c>
      <c r="N34" s="176" t="s">
        <v>146</v>
      </c>
      <c r="O34" s="176" t="s">
        <v>146</v>
      </c>
      <c r="P34" s="176" t="s">
        <v>146</v>
      </c>
      <c r="Q34" s="176" t="s">
        <v>146</v>
      </c>
      <c r="R34" s="176" t="s">
        <v>146</v>
      </c>
      <c r="S34" s="176" t="s">
        <v>146</v>
      </c>
      <c r="T34" s="176" t="s">
        <v>146</v>
      </c>
      <c r="U34" s="176" t="s">
        <v>146</v>
      </c>
      <c r="V34" s="176" t="s">
        <v>146</v>
      </c>
      <c r="W34" s="176" t="s">
        <v>146</v>
      </c>
      <c r="X34" s="176" t="s">
        <v>146</v>
      </c>
      <c r="Y34" s="176" t="s">
        <v>146</v>
      </c>
      <c r="Z34" s="176" t="s">
        <v>146</v>
      </c>
      <c r="AA34" s="176" t="s">
        <v>146</v>
      </c>
      <c r="AB34" s="242" t="s">
        <v>146</v>
      </c>
      <c r="AC34" s="234" t="s">
        <v>146</v>
      </c>
      <c r="AD34" s="133" t="s">
        <v>87</v>
      </c>
      <c r="AF34"/>
      <c r="AG34"/>
      <c r="AH34"/>
      <c r="AI34"/>
      <c r="AJ34"/>
      <c r="AK34"/>
      <c r="AL34"/>
      <c r="AM34"/>
      <c r="AN34"/>
      <c r="AO34"/>
      <c r="AP34"/>
      <c r="AQ34"/>
      <c r="AR34"/>
      <c r="AS34"/>
      <c r="AT34"/>
    </row>
    <row r="35" spans="1:46" ht="12.75" customHeight="1">
      <c r="A35" s="114"/>
      <c r="B35" s="462" t="s">
        <v>88</v>
      </c>
      <c r="C35" s="463" t="s">
        <v>146</v>
      </c>
      <c r="D35" s="463" t="s">
        <v>146</v>
      </c>
      <c r="E35" s="464" t="s">
        <v>146</v>
      </c>
      <c r="F35" s="464" t="s">
        <v>146</v>
      </c>
      <c r="G35" s="464" t="s">
        <v>146</v>
      </c>
      <c r="H35" s="464" t="s">
        <v>146</v>
      </c>
      <c r="I35" s="464" t="s">
        <v>146</v>
      </c>
      <c r="J35" s="464" t="s">
        <v>146</v>
      </c>
      <c r="K35" s="464" t="s">
        <v>146</v>
      </c>
      <c r="L35" s="464" t="s">
        <v>146</v>
      </c>
      <c r="M35" s="464" t="s">
        <v>146</v>
      </c>
      <c r="N35" s="464" t="s">
        <v>146</v>
      </c>
      <c r="O35" s="464" t="s">
        <v>146</v>
      </c>
      <c r="P35" s="464" t="s">
        <v>146</v>
      </c>
      <c r="Q35" s="464" t="s">
        <v>146</v>
      </c>
      <c r="R35" s="464" t="s">
        <v>146</v>
      </c>
      <c r="S35" s="464" t="s">
        <v>146</v>
      </c>
      <c r="T35" s="464" t="s">
        <v>146</v>
      </c>
      <c r="U35" s="464" t="s">
        <v>146</v>
      </c>
      <c r="V35" s="464" t="s">
        <v>146</v>
      </c>
      <c r="W35" s="464" t="s">
        <v>146</v>
      </c>
      <c r="X35" s="464" t="s">
        <v>146</v>
      </c>
      <c r="Y35" s="464" t="s">
        <v>146</v>
      </c>
      <c r="Z35" s="464" t="s">
        <v>146</v>
      </c>
      <c r="AA35" s="464" t="s">
        <v>146</v>
      </c>
      <c r="AB35" s="544" t="s">
        <v>146</v>
      </c>
      <c r="AC35" s="465" t="s">
        <v>146</v>
      </c>
      <c r="AD35" s="462" t="s">
        <v>88</v>
      </c>
      <c r="AF35"/>
      <c r="AG35"/>
      <c r="AH35"/>
      <c r="AI35"/>
      <c r="AJ35"/>
      <c r="AK35"/>
      <c r="AL35"/>
      <c r="AM35"/>
      <c r="AN35"/>
      <c r="AO35"/>
      <c r="AP35"/>
      <c r="AQ35"/>
      <c r="AR35"/>
      <c r="AS35"/>
      <c r="AT35"/>
    </row>
    <row r="36" spans="1:46" ht="12.75" customHeight="1">
      <c r="A36" s="114"/>
      <c r="B36" s="294" t="s">
        <v>13</v>
      </c>
      <c r="C36" s="466">
        <v>2.665</v>
      </c>
      <c r="D36" s="466">
        <v>10.078</v>
      </c>
      <c r="E36" s="332">
        <v>11.1</v>
      </c>
      <c r="F36" s="332">
        <v>11.07</v>
      </c>
      <c r="G36" s="332">
        <v>11</v>
      </c>
      <c r="H36" s="332">
        <v>11.6</v>
      </c>
      <c r="I36" s="332">
        <v>12</v>
      </c>
      <c r="J36" s="332">
        <v>11.1</v>
      </c>
      <c r="K36" s="332">
        <v>11.623</v>
      </c>
      <c r="L36" s="332">
        <v>11.235</v>
      </c>
      <c r="M36" s="332">
        <v>11.666</v>
      </c>
      <c r="N36" s="332">
        <v>11.637</v>
      </c>
      <c r="O36" s="332">
        <v>11.424</v>
      </c>
      <c r="P36" s="332">
        <v>11.562</v>
      </c>
      <c r="Q36" s="332">
        <v>10.935</v>
      </c>
      <c r="R36" s="332">
        <v>10.484</v>
      </c>
      <c r="S36" s="332">
        <v>10.657</v>
      </c>
      <c r="T36" s="332">
        <v>10.78</v>
      </c>
      <c r="U36" s="332">
        <v>10.777</v>
      </c>
      <c r="V36" s="332">
        <v>10.229</v>
      </c>
      <c r="W36" s="332">
        <v>10.18</v>
      </c>
      <c r="X36" s="332">
        <v>10.185</v>
      </c>
      <c r="Y36" s="332">
        <v>10.165</v>
      </c>
      <c r="Z36" s="332">
        <v>10.1</v>
      </c>
      <c r="AA36" s="332">
        <v>9.914</v>
      </c>
      <c r="AB36" s="615">
        <v>9.961410689886756</v>
      </c>
      <c r="AC36" s="608">
        <f t="shared" si="3"/>
        <v>0.478219587318506</v>
      </c>
      <c r="AD36" s="294" t="s">
        <v>13</v>
      </c>
      <c r="AF36"/>
      <c r="AG36"/>
      <c r="AH36"/>
      <c r="AI36"/>
      <c r="AJ36"/>
      <c r="AK36"/>
      <c r="AL36"/>
      <c r="AM36"/>
      <c r="AN36"/>
      <c r="AO36"/>
      <c r="AP36"/>
      <c r="AQ36"/>
      <c r="AR36"/>
      <c r="AS36"/>
      <c r="AT36"/>
    </row>
    <row r="37" spans="1:46" ht="12.75" customHeight="1">
      <c r="A37" s="114"/>
      <c r="B37" s="104" t="s">
        <v>310</v>
      </c>
      <c r="C37" s="353" t="s">
        <v>146</v>
      </c>
      <c r="D37" s="353" t="s">
        <v>146</v>
      </c>
      <c r="E37" s="183" t="s">
        <v>146</v>
      </c>
      <c r="F37" s="183" t="s">
        <v>146</v>
      </c>
      <c r="G37" s="183" t="s">
        <v>146</v>
      </c>
      <c r="H37" s="183" t="s">
        <v>146</v>
      </c>
      <c r="I37" s="183" t="s">
        <v>146</v>
      </c>
      <c r="J37" s="183" t="s">
        <v>146</v>
      </c>
      <c r="K37" s="183" t="s">
        <v>146</v>
      </c>
      <c r="L37" s="183" t="s">
        <v>146</v>
      </c>
      <c r="M37" s="183" t="s">
        <v>146</v>
      </c>
      <c r="N37" s="183" t="s">
        <v>146</v>
      </c>
      <c r="O37" s="183" t="s">
        <v>146</v>
      </c>
      <c r="P37" s="183" t="s">
        <v>146</v>
      </c>
      <c r="Q37" s="183" t="s">
        <v>146</v>
      </c>
      <c r="R37" s="183" t="s">
        <v>146</v>
      </c>
      <c r="S37" s="183" t="s">
        <v>146</v>
      </c>
      <c r="T37" s="183" t="s">
        <v>146</v>
      </c>
      <c r="U37" s="183" t="s">
        <v>146</v>
      </c>
      <c r="V37" s="183" t="s">
        <v>146</v>
      </c>
      <c r="W37" s="183" t="s">
        <v>146</v>
      </c>
      <c r="X37" s="183" t="s">
        <v>146</v>
      </c>
      <c r="Y37" s="183" t="s">
        <v>146</v>
      </c>
      <c r="Z37" s="183" t="s">
        <v>146</v>
      </c>
      <c r="AA37" s="183" t="s">
        <v>146</v>
      </c>
      <c r="AB37" s="616" t="s">
        <v>146</v>
      </c>
      <c r="AC37" s="617" t="s">
        <v>146</v>
      </c>
      <c r="AD37" s="104" t="s">
        <v>310</v>
      </c>
      <c r="AF37"/>
      <c r="AG37"/>
      <c r="AH37"/>
      <c r="AI37"/>
      <c r="AJ37"/>
      <c r="AK37"/>
      <c r="AL37"/>
      <c r="AM37"/>
      <c r="AN37"/>
      <c r="AO37"/>
      <c r="AP37"/>
      <c r="AQ37"/>
      <c r="AR37"/>
      <c r="AS37"/>
      <c r="AT37"/>
    </row>
    <row r="38" spans="1:46" ht="12.75" customHeight="1">
      <c r="A38" s="114"/>
      <c r="B38" s="294" t="s">
        <v>244</v>
      </c>
      <c r="C38" s="466" t="s">
        <v>146</v>
      </c>
      <c r="D38" s="466" t="s">
        <v>146</v>
      </c>
      <c r="E38" s="332" t="s">
        <v>146</v>
      </c>
      <c r="F38" s="332" t="s">
        <v>146</v>
      </c>
      <c r="G38" s="332" t="s">
        <v>146</v>
      </c>
      <c r="H38" s="332" t="s">
        <v>146</v>
      </c>
      <c r="I38" s="332" t="s">
        <v>146</v>
      </c>
      <c r="J38" s="332" t="s">
        <v>146</v>
      </c>
      <c r="K38" s="332" t="s">
        <v>146</v>
      </c>
      <c r="L38" s="332" t="s">
        <v>146</v>
      </c>
      <c r="M38" s="332" t="s">
        <v>146</v>
      </c>
      <c r="N38" s="332" t="s">
        <v>146</v>
      </c>
      <c r="O38" s="332" t="s">
        <v>146</v>
      </c>
      <c r="P38" s="332" t="s">
        <v>146</v>
      </c>
      <c r="Q38" s="332" t="s">
        <v>146</v>
      </c>
      <c r="R38" s="332" t="s">
        <v>146</v>
      </c>
      <c r="S38" s="332" t="s">
        <v>146</v>
      </c>
      <c r="T38" s="332" t="s">
        <v>146</v>
      </c>
      <c r="U38" s="332" t="s">
        <v>146</v>
      </c>
      <c r="V38" s="332" t="s">
        <v>146</v>
      </c>
      <c r="W38" s="332" t="s">
        <v>146</v>
      </c>
      <c r="X38" s="332" t="s">
        <v>146</v>
      </c>
      <c r="Y38" s="332" t="s">
        <v>146</v>
      </c>
      <c r="Z38" s="332" t="s">
        <v>146</v>
      </c>
      <c r="AA38" s="332" t="s">
        <v>146</v>
      </c>
      <c r="AB38" s="333" t="s">
        <v>146</v>
      </c>
      <c r="AC38" s="484" t="s">
        <v>146</v>
      </c>
      <c r="AD38" s="294" t="s">
        <v>244</v>
      </c>
      <c r="AF38"/>
      <c r="AG38"/>
      <c r="AH38"/>
      <c r="AI38"/>
      <c r="AJ38"/>
      <c r="AK38"/>
      <c r="AL38"/>
      <c r="AM38"/>
      <c r="AN38"/>
      <c r="AO38"/>
      <c r="AP38"/>
      <c r="AQ38"/>
      <c r="AR38"/>
      <c r="AS38"/>
      <c r="AT38"/>
    </row>
    <row r="39" spans="1:46" ht="12.75" customHeight="1">
      <c r="A39" s="114"/>
      <c r="B39" s="102" t="s">
        <v>149</v>
      </c>
      <c r="C39" s="211" t="s">
        <v>146</v>
      </c>
      <c r="D39" s="211" t="s">
        <v>146</v>
      </c>
      <c r="E39" s="177" t="s">
        <v>146</v>
      </c>
      <c r="F39" s="177" t="s">
        <v>146</v>
      </c>
      <c r="G39" s="177" t="s">
        <v>146</v>
      </c>
      <c r="H39" s="177" t="s">
        <v>146</v>
      </c>
      <c r="I39" s="177" t="s">
        <v>146</v>
      </c>
      <c r="J39" s="177" t="s">
        <v>146</v>
      </c>
      <c r="K39" s="177" t="s">
        <v>146</v>
      </c>
      <c r="L39" s="177" t="s">
        <v>146</v>
      </c>
      <c r="M39" s="177" t="s">
        <v>146</v>
      </c>
      <c r="N39" s="177" t="s">
        <v>146</v>
      </c>
      <c r="O39" s="177" t="s">
        <v>146</v>
      </c>
      <c r="P39" s="177" t="s">
        <v>146</v>
      </c>
      <c r="Q39" s="177">
        <v>0.04</v>
      </c>
      <c r="R39" s="177">
        <v>0.121</v>
      </c>
      <c r="S39" s="177">
        <v>0.12</v>
      </c>
      <c r="T39" s="177">
        <v>0.149</v>
      </c>
      <c r="U39" s="177">
        <v>0.17</v>
      </c>
      <c r="V39" s="177">
        <v>0.164</v>
      </c>
      <c r="W39" s="177">
        <v>0.164</v>
      </c>
      <c r="X39" s="177">
        <v>0.144</v>
      </c>
      <c r="Y39" s="177">
        <v>0.123</v>
      </c>
      <c r="Z39" s="177">
        <v>0.098</v>
      </c>
      <c r="AA39" s="177">
        <v>0.037</v>
      </c>
      <c r="AB39" s="618">
        <v>0.031414536741214055</v>
      </c>
      <c r="AC39" s="216">
        <f t="shared" si="3"/>
        <v>-15.095846645367416</v>
      </c>
      <c r="AD39" s="102" t="s">
        <v>149</v>
      </c>
      <c r="AF39"/>
      <c r="AG39"/>
      <c r="AH39"/>
      <c r="AI39"/>
      <c r="AJ39"/>
      <c r="AK39"/>
      <c r="AL39"/>
      <c r="AM39"/>
      <c r="AN39"/>
      <c r="AO39"/>
      <c r="AP39"/>
      <c r="AQ39"/>
      <c r="AR39"/>
      <c r="AS39"/>
      <c r="AT39"/>
    </row>
    <row r="40" spans="1:46" ht="12.75" customHeight="1">
      <c r="A40" s="114"/>
      <c r="B40" s="294" t="s">
        <v>245</v>
      </c>
      <c r="C40" s="466" t="s">
        <v>146</v>
      </c>
      <c r="D40" s="466" t="s">
        <v>146</v>
      </c>
      <c r="E40" s="332" t="s">
        <v>146</v>
      </c>
      <c r="F40" s="332" t="s">
        <v>146</v>
      </c>
      <c r="G40" s="332" t="s">
        <v>146</v>
      </c>
      <c r="H40" s="332" t="s">
        <v>146</v>
      </c>
      <c r="I40" s="332" t="s">
        <v>146</v>
      </c>
      <c r="J40" s="332" t="s">
        <v>146</v>
      </c>
      <c r="K40" s="332" t="s">
        <v>146</v>
      </c>
      <c r="L40" s="332" t="s">
        <v>146</v>
      </c>
      <c r="M40" s="332" t="s">
        <v>146</v>
      </c>
      <c r="N40" s="332" t="s">
        <v>146</v>
      </c>
      <c r="O40" s="332" t="s">
        <v>146</v>
      </c>
      <c r="P40" s="332" t="s">
        <v>146</v>
      </c>
      <c r="Q40" s="332" t="s">
        <v>146</v>
      </c>
      <c r="R40" s="332" t="s">
        <v>146</v>
      </c>
      <c r="S40" s="332" t="s">
        <v>146</v>
      </c>
      <c r="T40" s="332" t="s">
        <v>146</v>
      </c>
      <c r="U40" s="332">
        <v>0.47</v>
      </c>
      <c r="V40" s="332">
        <v>0.452</v>
      </c>
      <c r="W40" s="332">
        <v>0.462</v>
      </c>
      <c r="X40" s="332">
        <v>0.402</v>
      </c>
      <c r="Y40" s="332">
        <v>0.381</v>
      </c>
      <c r="Z40" s="332">
        <v>0.311</v>
      </c>
      <c r="AA40" s="332">
        <v>0.295</v>
      </c>
      <c r="AB40" s="333">
        <v>0.381</v>
      </c>
      <c r="AC40" s="608">
        <f t="shared" si="3"/>
        <v>29.152542372881356</v>
      </c>
      <c r="AD40" s="294" t="s">
        <v>245</v>
      </c>
      <c r="AF40"/>
      <c r="AG40"/>
      <c r="AH40"/>
      <c r="AI40"/>
      <c r="AJ40"/>
      <c r="AK40"/>
      <c r="AL40"/>
      <c r="AM40"/>
      <c r="AN40"/>
      <c r="AO40"/>
      <c r="AP40"/>
      <c r="AQ40"/>
      <c r="AR40"/>
      <c r="AS40"/>
      <c r="AT40"/>
    </row>
    <row r="41" spans="1:46" ht="12.75" customHeight="1">
      <c r="A41" s="114"/>
      <c r="B41" s="103" t="s">
        <v>150</v>
      </c>
      <c r="C41" s="351">
        <v>1.3</v>
      </c>
      <c r="D41" s="351">
        <v>13.8</v>
      </c>
      <c r="E41" s="335" t="s">
        <v>99</v>
      </c>
      <c r="F41" s="335" t="s">
        <v>234</v>
      </c>
      <c r="G41" s="335">
        <v>3.1</v>
      </c>
      <c r="H41" s="335">
        <v>3.1</v>
      </c>
      <c r="I41" s="335">
        <v>3.1</v>
      </c>
      <c r="J41" s="335">
        <v>3.2</v>
      </c>
      <c r="K41" s="335">
        <v>4</v>
      </c>
      <c r="L41" s="335">
        <v>21</v>
      </c>
      <c r="M41" s="335">
        <v>39.7</v>
      </c>
      <c r="N41" s="335">
        <v>43.478</v>
      </c>
      <c r="O41" s="335">
        <v>53.134</v>
      </c>
      <c r="P41" s="335">
        <v>43.518</v>
      </c>
      <c r="Q41" s="335">
        <v>47.691</v>
      </c>
      <c r="R41" s="335">
        <v>18.127734</v>
      </c>
      <c r="S41" s="335">
        <v>11.927373</v>
      </c>
      <c r="T41" s="335">
        <v>5.735652</v>
      </c>
      <c r="U41" s="335">
        <v>5.84076</v>
      </c>
      <c r="V41" s="335">
        <v>12.893485</v>
      </c>
      <c r="W41" s="335">
        <v>36.397749</v>
      </c>
      <c r="X41" s="335">
        <v>45.111153</v>
      </c>
      <c r="Y41" s="335">
        <v>39.636438</v>
      </c>
      <c r="Z41" s="335">
        <v>44.69</v>
      </c>
      <c r="AA41" s="335">
        <f>37268707/1000000</f>
        <v>37.268707</v>
      </c>
      <c r="AB41" s="335">
        <v>26.714</v>
      </c>
      <c r="AC41" s="238">
        <f t="shared" si="3"/>
        <v>-28.32056126873411</v>
      </c>
      <c r="AD41" s="103" t="s">
        <v>150</v>
      </c>
      <c r="AF41"/>
      <c r="AG41"/>
      <c r="AH41"/>
      <c r="AI41"/>
      <c r="AJ41"/>
      <c r="AK41"/>
      <c r="AL41"/>
      <c r="AM41"/>
      <c r="AN41"/>
      <c r="AO41"/>
      <c r="AP41"/>
      <c r="AQ41"/>
      <c r="AR41"/>
      <c r="AS41"/>
      <c r="AT41"/>
    </row>
    <row r="42" spans="1:46" ht="12.75" customHeight="1">
      <c r="A42" s="114"/>
      <c r="B42" s="294" t="s">
        <v>151</v>
      </c>
      <c r="C42" s="609" t="s">
        <v>146</v>
      </c>
      <c r="D42" s="609" t="s">
        <v>146</v>
      </c>
      <c r="E42" s="547" t="s">
        <v>146</v>
      </c>
      <c r="F42" s="547" t="s">
        <v>146</v>
      </c>
      <c r="G42" s="547" t="s">
        <v>146</v>
      </c>
      <c r="H42" s="547" t="s">
        <v>146</v>
      </c>
      <c r="I42" s="547" t="s">
        <v>146</v>
      </c>
      <c r="J42" s="547" t="s">
        <v>146</v>
      </c>
      <c r="K42" s="547" t="s">
        <v>146</v>
      </c>
      <c r="L42" s="547" t="s">
        <v>146</v>
      </c>
      <c r="M42" s="547" t="s">
        <v>146</v>
      </c>
      <c r="N42" s="547" t="s">
        <v>146</v>
      </c>
      <c r="O42" s="547" t="s">
        <v>146</v>
      </c>
      <c r="P42" s="547" t="s">
        <v>146</v>
      </c>
      <c r="Q42" s="547" t="s">
        <v>146</v>
      </c>
      <c r="R42" s="547" t="s">
        <v>146</v>
      </c>
      <c r="S42" s="547" t="s">
        <v>146</v>
      </c>
      <c r="T42" s="547" t="s">
        <v>146</v>
      </c>
      <c r="U42" s="547" t="s">
        <v>146</v>
      </c>
      <c r="V42" s="547" t="s">
        <v>146</v>
      </c>
      <c r="W42" s="547" t="s">
        <v>146</v>
      </c>
      <c r="X42" s="547" t="s">
        <v>146</v>
      </c>
      <c r="Y42" s="547" t="s">
        <v>146</v>
      </c>
      <c r="Z42" s="547" t="s">
        <v>146</v>
      </c>
      <c r="AA42" s="547" t="s">
        <v>146</v>
      </c>
      <c r="AB42" s="332" t="s">
        <v>146</v>
      </c>
      <c r="AC42" s="484" t="s">
        <v>146</v>
      </c>
      <c r="AD42" s="294" t="s">
        <v>151</v>
      </c>
      <c r="AF42"/>
      <c r="AG42"/>
      <c r="AH42"/>
      <c r="AI42"/>
      <c r="AJ42"/>
      <c r="AK42"/>
      <c r="AL42"/>
      <c r="AM42"/>
      <c r="AN42"/>
      <c r="AO42"/>
      <c r="AP42"/>
      <c r="AQ42"/>
      <c r="AR42"/>
      <c r="AS42"/>
      <c r="AT42"/>
    </row>
    <row r="43" spans="1:46" ht="12.75" customHeight="1">
      <c r="A43" s="114"/>
      <c r="B43" s="102" t="s">
        <v>152</v>
      </c>
      <c r="C43" s="211" t="s">
        <v>146</v>
      </c>
      <c r="D43" s="211" t="s">
        <v>146</v>
      </c>
      <c r="E43" s="177">
        <v>2.055</v>
      </c>
      <c r="F43" s="177">
        <v>2.505</v>
      </c>
      <c r="G43" s="177">
        <v>3.071</v>
      </c>
      <c r="H43" s="177">
        <v>3.39</v>
      </c>
      <c r="I43" s="177">
        <v>4.049</v>
      </c>
      <c r="J43" s="177">
        <v>5.261</v>
      </c>
      <c r="K43" s="177">
        <v>5.126</v>
      </c>
      <c r="L43" s="177">
        <v>4.16</v>
      </c>
      <c r="M43" s="177">
        <v>4.136</v>
      </c>
      <c r="N43" s="177">
        <v>3.981</v>
      </c>
      <c r="O43" s="177">
        <v>3.485</v>
      </c>
      <c r="P43" s="177">
        <v>3.681</v>
      </c>
      <c r="Q43" s="177">
        <v>3.601</v>
      </c>
      <c r="R43" s="177">
        <v>3.494</v>
      </c>
      <c r="S43" s="177">
        <v>4.721</v>
      </c>
      <c r="T43" s="177">
        <v>4.59</v>
      </c>
      <c r="U43" s="177">
        <v>4.529</v>
      </c>
      <c r="V43" s="177">
        <v>4.192</v>
      </c>
      <c r="W43" s="177">
        <v>3.827</v>
      </c>
      <c r="X43" s="177">
        <v>3.854</v>
      </c>
      <c r="Y43" s="177">
        <v>3.465</v>
      </c>
      <c r="Z43" s="177">
        <v>3.372</v>
      </c>
      <c r="AA43" s="177">
        <v>3.115</v>
      </c>
      <c r="AB43" s="177">
        <v>2.724</v>
      </c>
      <c r="AC43" s="216">
        <f t="shared" si="3"/>
        <v>-12.552166934189401</v>
      </c>
      <c r="AD43" s="102" t="s">
        <v>152</v>
      </c>
      <c r="AF43"/>
      <c r="AG43"/>
      <c r="AH43"/>
      <c r="AI43"/>
      <c r="AJ43"/>
      <c r="AK43"/>
      <c r="AL43"/>
      <c r="AM43"/>
      <c r="AN43"/>
      <c r="AO43"/>
      <c r="AP43"/>
      <c r="AQ43"/>
      <c r="AR43"/>
      <c r="AS43"/>
      <c r="AT43"/>
    </row>
    <row r="44" spans="1:30" ht="12.75" customHeight="1">
      <c r="A44" s="114"/>
      <c r="B44" s="477" t="s">
        <v>153</v>
      </c>
      <c r="C44" s="483">
        <v>1.2</v>
      </c>
      <c r="D44" s="483">
        <v>1.1</v>
      </c>
      <c r="E44" s="486">
        <v>1.2</v>
      </c>
      <c r="F44" s="471">
        <v>1.227</v>
      </c>
      <c r="G44" s="471">
        <v>1.265</v>
      </c>
      <c r="H44" s="471">
        <v>1.221</v>
      </c>
      <c r="I44" s="471">
        <v>1.211</v>
      </c>
      <c r="J44" s="619">
        <v>1.248</v>
      </c>
      <c r="K44" s="471">
        <v>1.202</v>
      </c>
      <c r="L44" s="471">
        <v>0.289</v>
      </c>
      <c r="M44" s="471">
        <v>0.234</v>
      </c>
      <c r="N44" s="471">
        <v>0.233</v>
      </c>
      <c r="O44" s="471">
        <v>0.216</v>
      </c>
      <c r="P44" s="471">
        <v>0.23</v>
      </c>
      <c r="Q44" s="471">
        <v>0.226</v>
      </c>
      <c r="R44" s="471">
        <v>0.222</v>
      </c>
      <c r="S44" s="471">
        <v>0.238</v>
      </c>
      <c r="T44" s="471">
        <v>0.226</v>
      </c>
      <c r="U44" s="471">
        <v>0.256</v>
      </c>
      <c r="V44" s="471">
        <v>0.217</v>
      </c>
      <c r="W44" s="471">
        <v>0.248</v>
      </c>
      <c r="X44" s="471">
        <v>0.233</v>
      </c>
      <c r="Y44" s="471">
        <v>0.218</v>
      </c>
      <c r="Z44" s="471">
        <v>0.203</v>
      </c>
      <c r="AA44" s="471">
        <v>0.183</v>
      </c>
      <c r="AB44" s="471">
        <v>0.228</v>
      </c>
      <c r="AC44" s="620">
        <f t="shared" si="3"/>
        <v>24.59016393442623</v>
      </c>
      <c r="AD44" s="477" t="s">
        <v>153</v>
      </c>
    </row>
    <row r="45" spans="2:19" ht="15" customHeight="1">
      <c r="B45" s="118" t="s">
        <v>257</v>
      </c>
      <c r="C45" s="156"/>
      <c r="D45" s="156"/>
      <c r="E45" s="156"/>
      <c r="F45" s="156"/>
      <c r="G45" s="156"/>
      <c r="H45" s="156"/>
      <c r="I45" s="156"/>
      <c r="J45" s="156"/>
      <c r="K45" s="156"/>
      <c r="L45" s="156"/>
      <c r="M45" s="156"/>
      <c r="N45" s="156"/>
      <c r="O45" s="156"/>
      <c r="P45" s="156"/>
      <c r="Q45" s="156"/>
      <c r="R45" s="156"/>
      <c r="S45" s="156"/>
    </row>
    <row r="46" spans="2:19" ht="12.75" customHeight="1">
      <c r="B46" s="1090" t="s">
        <v>174</v>
      </c>
      <c r="C46" s="1090"/>
      <c r="D46" s="1090"/>
      <c r="E46" s="1090"/>
      <c r="F46" s="1090"/>
      <c r="G46" s="1090"/>
      <c r="H46" s="1090"/>
      <c r="I46" s="1090"/>
      <c r="J46" s="1090"/>
      <c r="K46" s="1090"/>
      <c r="L46" s="1090"/>
      <c r="M46" s="1090"/>
      <c r="N46" s="1090"/>
      <c r="O46" s="1090"/>
      <c r="P46" s="1090"/>
      <c r="Q46" s="1090"/>
      <c r="R46" s="1090"/>
      <c r="S46" s="1090"/>
    </row>
    <row r="47" spans="2:31" ht="15" customHeight="1">
      <c r="B47" s="1088" t="s">
        <v>322</v>
      </c>
      <c r="C47" s="1088"/>
      <c r="D47" s="1088"/>
      <c r="E47" s="1088"/>
      <c r="F47" s="1088"/>
      <c r="G47" s="1088"/>
      <c r="H47" s="1088"/>
      <c r="I47" s="1088"/>
      <c r="J47" s="1088"/>
      <c r="K47" s="1088"/>
      <c r="L47" s="1088"/>
      <c r="M47" s="1088"/>
      <c r="N47" s="1088"/>
      <c r="O47" s="1088"/>
      <c r="P47" s="1088"/>
      <c r="Q47" s="1088"/>
      <c r="R47" s="1088"/>
      <c r="S47" s="1088"/>
      <c r="T47" s="1088"/>
      <c r="U47" s="1088"/>
      <c r="V47" s="1088"/>
      <c r="W47" s="1088"/>
      <c r="X47" s="1088"/>
      <c r="Y47" s="1088"/>
      <c r="Z47" s="1088"/>
      <c r="AA47" s="1088"/>
      <c r="AB47" s="1088"/>
      <c r="AC47" s="1088"/>
      <c r="AD47" s="1088"/>
      <c r="AE47" s="1088"/>
    </row>
    <row r="48" spans="2:33" ht="12.75" customHeight="1">
      <c r="B48" s="222" t="s">
        <v>258</v>
      </c>
      <c r="C48" s="197"/>
      <c r="D48" s="197"/>
      <c r="E48" s="197"/>
      <c r="F48" s="197"/>
      <c r="G48" s="197"/>
      <c r="H48" s="197"/>
      <c r="I48" s="197"/>
      <c r="J48" s="197"/>
      <c r="K48" s="197"/>
      <c r="L48" s="197"/>
      <c r="M48" s="197"/>
      <c r="N48" s="197"/>
      <c r="O48" s="197"/>
      <c r="P48" s="197"/>
      <c r="Q48" s="197"/>
      <c r="R48" s="197"/>
      <c r="S48" s="197"/>
      <c r="T48" s="197"/>
      <c r="U48" s="197"/>
      <c r="V48" s="197"/>
      <c r="W48" s="197"/>
      <c r="X48" s="197"/>
      <c r="AA48" s="197"/>
      <c r="AB48" s="197"/>
      <c r="AC48" s="197"/>
      <c r="AD48" s="197"/>
      <c r="AF48"/>
      <c r="AG48"/>
    </row>
    <row r="49" spans="2:33" ht="16.5" customHeight="1">
      <c r="B49" s="222" t="s">
        <v>259</v>
      </c>
      <c r="C49" s="197"/>
      <c r="D49" s="197"/>
      <c r="E49" s="197"/>
      <c r="F49" s="197"/>
      <c r="G49" s="197"/>
      <c r="H49" s="197"/>
      <c r="I49" s="197"/>
      <c r="J49" s="197"/>
      <c r="K49" s="197"/>
      <c r="L49" s="197"/>
      <c r="M49" s="197"/>
      <c r="N49" s="197"/>
      <c r="O49" s="197"/>
      <c r="X49" s="197"/>
      <c r="AA49" s="197"/>
      <c r="AB49" s="197"/>
      <c r="AC49" s="197"/>
      <c r="AD49" s="197"/>
      <c r="AF49"/>
      <c r="AG49"/>
    </row>
    <row r="52" spans="27:28" ht="11.25">
      <c r="AA52" s="197"/>
      <c r="AB52" s="197"/>
    </row>
    <row r="53" spans="27:28" ht="11.25">
      <c r="AA53" s="197"/>
      <c r="AB53" s="197"/>
    </row>
    <row r="58" ht="12.75">
      <c r="AF58" s="621"/>
    </row>
    <row r="59" spans="32:33" ht="12.75">
      <c r="AF59" s="621"/>
      <c r="AG59" s="621"/>
    </row>
    <row r="60" spans="32:33" ht="12.75">
      <c r="AF60" s="621"/>
      <c r="AG60" s="621"/>
    </row>
    <row r="61" spans="32:33" ht="12.75">
      <c r="AF61" s="621"/>
      <c r="AG61" s="621"/>
    </row>
    <row r="62" spans="32:33" ht="12.75">
      <c r="AF62" s="621"/>
      <c r="AG62" s="621"/>
    </row>
    <row r="63" spans="32:33" ht="12.75">
      <c r="AF63" s="621"/>
      <c r="AG63" s="621"/>
    </row>
    <row r="64" spans="32:33" ht="12.75">
      <c r="AF64" s="621"/>
      <c r="AG64" s="621"/>
    </row>
    <row r="65" spans="32:33" ht="12.75">
      <c r="AF65" s="621"/>
      <c r="AG65" s="621"/>
    </row>
    <row r="66" spans="32:33" ht="12.75">
      <c r="AF66" s="621"/>
      <c r="AG66" s="621"/>
    </row>
    <row r="67" spans="32:33" ht="12.75">
      <c r="AF67" s="621"/>
      <c r="AG67" s="621"/>
    </row>
    <row r="68" spans="32:33" ht="12.75">
      <c r="AF68" s="621"/>
      <c r="AG68" s="621"/>
    </row>
    <row r="69" spans="32:33" ht="12.75">
      <c r="AF69" s="622" t="s">
        <v>323</v>
      </c>
      <c r="AG69" s="621"/>
    </row>
    <row r="70" spans="32:33" ht="12.75">
      <c r="AF70" s="622" t="s">
        <v>324</v>
      </c>
      <c r="AG70" s="621"/>
    </row>
    <row r="71" spans="32:33" ht="12.75">
      <c r="AF71" s="623">
        <v>10649716</v>
      </c>
      <c r="AG71" s="621"/>
    </row>
    <row r="72" spans="32:33" ht="12.75">
      <c r="AF72" s="623">
        <v>368083</v>
      </c>
      <c r="AG72" s="621"/>
    </row>
    <row r="73" spans="32:33" ht="12.75">
      <c r="AF73" s="623">
        <v>2561988</v>
      </c>
      <c r="AG73" s="621"/>
    </row>
    <row r="74" spans="32:33" ht="12.75">
      <c r="AF74" s="621"/>
      <c r="AG74" s="621"/>
    </row>
    <row r="75" spans="32:33" ht="12.75">
      <c r="AF75" s="621" t="e">
        <f>AF71/#REF!</f>
        <v>#REF!</v>
      </c>
      <c r="AG75" s="621"/>
    </row>
    <row r="77" ht="11.25">
      <c r="AF77" s="96" t="e">
        <f>#REF!*AF75</f>
        <v>#REF!</v>
      </c>
    </row>
    <row r="79" ht="11.25">
      <c r="AF79" s="96" t="e">
        <f>AF73/#REF!</f>
        <v>#REF!</v>
      </c>
    </row>
    <row r="81" ht="11.25">
      <c r="AF81" s="96" t="e">
        <f>#REF!*AF79</f>
        <v>#REF!</v>
      </c>
    </row>
  </sheetData>
  <sheetProtection/>
  <mergeCells count="4">
    <mergeCell ref="B47:AE47"/>
    <mergeCell ref="W3:X3"/>
    <mergeCell ref="B2:AD2"/>
    <mergeCell ref="B46:S4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B1:H57"/>
  <sheetViews>
    <sheetView zoomScalePageLayoutView="0" workbookViewId="0" topLeftCell="A1">
      <selection activeCell="A1" sqref="A1"/>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158"/>
      <c r="C1" s="95"/>
      <c r="D1" s="95"/>
      <c r="E1" s="95"/>
      <c r="G1" s="159" t="s">
        <v>139</v>
      </c>
    </row>
    <row r="2" spans="2:7" ht="12.75">
      <c r="B2" s="1091" t="s">
        <v>169</v>
      </c>
      <c r="C2" s="1091"/>
      <c r="D2" s="1091"/>
      <c r="E2" s="1091"/>
      <c r="F2" s="1091"/>
      <c r="G2" s="1091"/>
    </row>
    <row r="3" spans="2:7" ht="19.5" customHeight="1">
      <c r="B3" s="1091"/>
      <c r="C3" s="1091"/>
      <c r="D3" s="1091"/>
      <c r="E3" s="1091"/>
      <c r="F3" s="1091"/>
      <c r="G3" s="1091"/>
    </row>
    <row r="4" spans="2:7" ht="12.75">
      <c r="B4" s="1092">
        <v>2013</v>
      </c>
      <c r="C4" s="1092"/>
      <c r="D4" s="1092"/>
      <c r="E4" s="1092"/>
      <c r="F4" s="1092"/>
      <c r="G4" s="1092"/>
    </row>
    <row r="5" spans="2:6" ht="12.75">
      <c r="B5" s="1093" t="s">
        <v>170</v>
      </c>
      <c r="C5" s="1093"/>
      <c r="D5" s="1093"/>
      <c r="E5" s="1093"/>
      <c r="F5" s="1093"/>
    </row>
    <row r="6" spans="2:7" ht="28.5" customHeight="1">
      <c r="B6" s="35"/>
      <c r="C6" s="161" t="s">
        <v>171</v>
      </c>
      <c r="D6" s="162" t="s">
        <v>172</v>
      </c>
      <c r="E6" s="162" t="s">
        <v>22</v>
      </c>
      <c r="F6" s="163" t="s">
        <v>173</v>
      </c>
      <c r="G6" s="164"/>
    </row>
    <row r="7" spans="2:8" ht="12.75">
      <c r="B7" s="129" t="s">
        <v>260</v>
      </c>
      <c r="C7" s="165">
        <v>81.70643626165895</v>
      </c>
      <c r="D7" s="165">
        <v>9.206919316402484</v>
      </c>
      <c r="E7" s="165">
        <v>7.418587053484932</v>
      </c>
      <c r="F7" s="165">
        <v>1.6680573684536293</v>
      </c>
      <c r="G7" s="129" t="s">
        <v>260</v>
      </c>
      <c r="H7" s="93"/>
    </row>
    <row r="8" spans="2:8" ht="12.75">
      <c r="B8" s="133" t="s">
        <v>89</v>
      </c>
      <c r="C8" s="168">
        <v>82.5295002394627</v>
      </c>
      <c r="D8" s="169">
        <v>8.340056595519204</v>
      </c>
      <c r="E8" s="169">
        <v>7.72314777505365</v>
      </c>
      <c r="F8" s="169">
        <v>1.4072953899644274</v>
      </c>
      <c r="G8" s="133" t="s">
        <v>89</v>
      </c>
      <c r="H8" s="93"/>
    </row>
    <row r="9" spans="2:8" ht="12.75">
      <c r="B9" s="134" t="s">
        <v>261</v>
      </c>
      <c r="C9" s="171">
        <v>76.56604746453091</v>
      </c>
      <c r="D9" s="172">
        <v>14.620850115520453</v>
      </c>
      <c r="E9" s="172">
        <v>5.516474261020641</v>
      </c>
      <c r="F9" s="172">
        <v>3.2966281589279807</v>
      </c>
      <c r="G9" s="134" t="s">
        <v>261</v>
      </c>
      <c r="H9" s="93"/>
    </row>
    <row r="10" spans="2:8" ht="12.75">
      <c r="B10" s="104" t="s">
        <v>60</v>
      </c>
      <c r="C10" s="174">
        <v>76.75484825978442</v>
      </c>
      <c r="D10" s="178">
        <v>15.03439331694689</v>
      </c>
      <c r="E10" s="174">
        <v>7.344638530316128</v>
      </c>
      <c r="F10" s="174">
        <v>0.8661198929525835</v>
      </c>
      <c r="G10" s="104" t="s">
        <v>60</v>
      </c>
      <c r="H10" s="93"/>
    </row>
    <row r="11" spans="2:8" ht="12.75">
      <c r="B11" s="133" t="s">
        <v>101</v>
      </c>
      <c r="C11" s="175">
        <v>79.61933165353678</v>
      </c>
      <c r="D11" s="175">
        <v>15.992345248742105</v>
      </c>
      <c r="E11" s="175">
        <v>2.8227256661780915</v>
      </c>
      <c r="F11" s="175">
        <v>1.5655974315430383</v>
      </c>
      <c r="G11" s="133" t="s">
        <v>101</v>
      </c>
      <c r="H11" s="93"/>
    </row>
    <row r="12" spans="2:8" ht="9.75" customHeight="1">
      <c r="B12" s="102" t="s">
        <v>61</v>
      </c>
      <c r="C12" s="180">
        <v>66.33232030764243</v>
      </c>
      <c r="D12" s="178">
        <v>16.129988775319656</v>
      </c>
      <c r="E12" s="178">
        <v>7.707477032498219</v>
      </c>
      <c r="F12" s="178">
        <v>9.830213884539697</v>
      </c>
      <c r="G12" s="102" t="s">
        <v>61</v>
      </c>
      <c r="H12" s="93"/>
    </row>
    <row r="13" spans="2:8" ht="12.75">
      <c r="B13" s="133" t="s">
        <v>14</v>
      </c>
      <c r="C13" s="472">
        <v>79.63464444411196</v>
      </c>
      <c r="D13" s="175">
        <v>9.789194931103097</v>
      </c>
      <c r="E13" s="175">
        <v>10.15125899549664</v>
      </c>
      <c r="F13" s="175">
        <v>0.4249016292882896</v>
      </c>
      <c r="G13" s="133" t="s">
        <v>14</v>
      </c>
      <c r="H13" s="93"/>
    </row>
    <row r="14" spans="2:8" ht="12.75">
      <c r="B14" s="102" t="s">
        <v>63</v>
      </c>
      <c r="C14" s="178">
        <v>84.40168934772407</v>
      </c>
      <c r="D14" s="178">
        <v>5.678085405912717</v>
      </c>
      <c r="E14" s="178">
        <v>8.352885969028625</v>
      </c>
      <c r="F14" s="178">
        <v>1.5673392773345847</v>
      </c>
      <c r="G14" s="102" t="s">
        <v>63</v>
      </c>
      <c r="H14" s="93"/>
    </row>
    <row r="15" spans="2:8" ht="12.75">
      <c r="B15" s="133" t="s">
        <v>64</v>
      </c>
      <c r="C15" s="175">
        <v>80.28537617744186</v>
      </c>
      <c r="D15" s="175">
        <v>17.237769816744148</v>
      </c>
      <c r="E15" s="175">
        <v>1.5919817393374485</v>
      </c>
      <c r="F15" s="175">
        <v>0.8848722664765354</v>
      </c>
      <c r="G15" s="133" t="s">
        <v>64</v>
      </c>
      <c r="H15" s="93"/>
    </row>
    <row r="16" spans="2:8" ht="12.75">
      <c r="B16" s="102" t="s">
        <v>68</v>
      </c>
      <c r="C16" s="178">
        <v>82.98455299555604</v>
      </c>
      <c r="D16" s="174">
        <v>14.046741648241982</v>
      </c>
      <c r="E16" s="174">
        <v>2.7099323290984243</v>
      </c>
      <c r="F16" s="174">
        <v>0.25877302710353256</v>
      </c>
      <c r="G16" s="102" t="s">
        <v>68</v>
      </c>
      <c r="H16" s="93"/>
    </row>
    <row r="17" spans="2:8" ht="12.75">
      <c r="B17" s="133" t="s">
        <v>15</v>
      </c>
      <c r="C17" s="175">
        <v>80.13697329474861</v>
      </c>
      <c r="D17" s="175">
        <v>17.588000395199973</v>
      </c>
      <c r="E17" s="175">
        <v>0.8832421001825096</v>
      </c>
      <c r="F17" s="175">
        <v>1.3917842098688884</v>
      </c>
      <c r="G17" s="133" t="s">
        <v>15</v>
      </c>
      <c r="H17" s="93"/>
    </row>
    <row r="18" spans="2:8" ht="12.75">
      <c r="B18" s="102" t="s">
        <v>66</v>
      </c>
      <c r="C18" s="174">
        <v>79.55732803085779</v>
      </c>
      <c r="D18" s="174">
        <v>13.027698138780632</v>
      </c>
      <c r="E18" s="174">
        <v>5.970462809868694</v>
      </c>
      <c r="F18" s="174">
        <v>1.4445110204928895</v>
      </c>
      <c r="G18" s="102" t="s">
        <v>66</v>
      </c>
      <c r="H18" s="93"/>
    </row>
    <row r="19" spans="2:8" ht="12.75">
      <c r="B19" s="133" t="s">
        <v>67</v>
      </c>
      <c r="C19" s="175">
        <v>83.87359007610495</v>
      </c>
      <c r="D19" s="175">
        <v>5.446941490342801</v>
      </c>
      <c r="E19" s="175">
        <v>9.10021684127905</v>
      </c>
      <c r="F19" s="175">
        <v>1.579251592273193</v>
      </c>
      <c r="G19" s="133" t="s">
        <v>67</v>
      </c>
      <c r="H19" s="93"/>
    </row>
    <row r="20" spans="2:8" ht="12.75">
      <c r="B20" s="102" t="s">
        <v>148</v>
      </c>
      <c r="C20" s="178">
        <v>84.01406847630196</v>
      </c>
      <c r="D20" s="178">
        <v>11.2693569763393</v>
      </c>
      <c r="E20" s="178">
        <v>3.0045191824571558</v>
      </c>
      <c r="F20" s="178">
        <v>1.7120553649015862</v>
      </c>
      <c r="G20" s="102" t="s">
        <v>148</v>
      </c>
      <c r="H20" s="93"/>
    </row>
    <row r="21" spans="2:8" ht="12.75">
      <c r="B21" s="294" t="s">
        <v>69</v>
      </c>
      <c r="C21" s="473">
        <v>79.67931403412103</v>
      </c>
      <c r="D21" s="473">
        <v>13.172425219726655</v>
      </c>
      <c r="E21" s="473">
        <v>6.259978088342766</v>
      </c>
      <c r="F21" s="473">
        <v>0.8882826578095279</v>
      </c>
      <c r="G21" s="294" t="s">
        <v>69</v>
      </c>
      <c r="H21" s="93"/>
    </row>
    <row r="22" spans="2:8" ht="12.75">
      <c r="B22" s="102" t="s">
        <v>71</v>
      </c>
      <c r="C22" s="178">
        <v>81.47388573912905</v>
      </c>
      <c r="D22" s="178">
        <v>18.52611426087096</v>
      </c>
      <c r="E22" s="474" t="s">
        <v>146</v>
      </c>
      <c r="F22" s="474" t="s">
        <v>146</v>
      </c>
      <c r="G22" s="102" t="s">
        <v>71</v>
      </c>
      <c r="H22" s="93"/>
    </row>
    <row r="23" spans="2:8" ht="12.75">
      <c r="B23" s="294" t="s">
        <v>72</v>
      </c>
      <c r="C23" s="473">
        <v>78.71509782330288</v>
      </c>
      <c r="D23" s="473">
        <v>15.557324548062743</v>
      </c>
      <c r="E23" s="473">
        <v>4.83692582973404</v>
      </c>
      <c r="F23" s="473">
        <v>0.8906517989003474</v>
      </c>
      <c r="G23" s="294" t="s">
        <v>72</v>
      </c>
      <c r="H23" s="93"/>
    </row>
    <row r="24" spans="2:8" ht="12.75">
      <c r="B24" s="102" t="s">
        <v>73</v>
      </c>
      <c r="C24" s="178">
        <v>91.42661179698217</v>
      </c>
      <c r="D24" s="178">
        <v>7.810699588477366</v>
      </c>
      <c r="E24" s="178">
        <v>0.7626886145404664</v>
      </c>
      <c r="F24" s="474" t="s">
        <v>146</v>
      </c>
      <c r="G24" s="102" t="s">
        <v>73</v>
      </c>
      <c r="H24" s="93"/>
    </row>
    <row r="25" spans="2:8" ht="12.75">
      <c r="B25" s="294" t="s">
        <v>76</v>
      </c>
      <c r="C25" s="473">
        <v>82.91706165337351</v>
      </c>
      <c r="D25" s="473">
        <v>12.42326934184816</v>
      </c>
      <c r="E25" s="473">
        <v>4.659669004778335</v>
      </c>
      <c r="F25" s="475" t="s">
        <v>146</v>
      </c>
      <c r="G25" s="294" t="s">
        <v>76</v>
      </c>
      <c r="H25" s="93"/>
    </row>
    <row r="26" spans="2:8" ht="12.75">
      <c r="B26" s="102" t="s">
        <v>77</v>
      </c>
      <c r="C26" s="178">
        <v>65.32931764768148</v>
      </c>
      <c r="D26" s="178">
        <v>21.619076961486037</v>
      </c>
      <c r="E26" s="178">
        <v>9.886883264718389</v>
      </c>
      <c r="F26" s="178">
        <v>3.164722126114103</v>
      </c>
      <c r="G26" s="102" t="s">
        <v>77</v>
      </c>
      <c r="H26" s="93"/>
    </row>
    <row r="27" spans="2:8" ht="12.75">
      <c r="B27" s="294" t="s">
        <v>78</v>
      </c>
      <c r="C27" s="473">
        <v>83.0245160357975</v>
      </c>
      <c r="D27" s="473">
        <v>16.975483964202496</v>
      </c>
      <c r="E27" s="475" t="s">
        <v>146</v>
      </c>
      <c r="F27" s="475" t="s">
        <v>146</v>
      </c>
      <c r="G27" s="294" t="s">
        <v>78</v>
      </c>
      <c r="H27" s="93"/>
    </row>
    <row r="28" spans="2:8" ht="12.75">
      <c r="B28" s="102" t="s">
        <v>16</v>
      </c>
      <c r="C28" s="178">
        <v>82.50543029490625</v>
      </c>
      <c r="D28" s="178">
        <v>6.641508943416431</v>
      </c>
      <c r="E28" s="178">
        <v>10.026055349936028</v>
      </c>
      <c r="F28" s="178">
        <v>0.8270054117412858</v>
      </c>
      <c r="G28" s="102" t="s">
        <v>16</v>
      </c>
      <c r="H28" s="93"/>
    </row>
    <row r="29" spans="2:8" ht="12.75">
      <c r="B29" s="294" t="s">
        <v>81</v>
      </c>
      <c r="C29" s="473">
        <v>74.24452866128296</v>
      </c>
      <c r="D29" s="473">
        <v>9.441655588404531</v>
      </c>
      <c r="E29" s="473">
        <v>12.184765570745451</v>
      </c>
      <c r="F29" s="473">
        <v>4.129050179567055</v>
      </c>
      <c r="G29" s="294" t="s">
        <v>81</v>
      </c>
      <c r="H29" s="93"/>
    </row>
    <row r="30" spans="2:8" ht="12.75">
      <c r="B30" s="102" t="s">
        <v>80</v>
      </c>
      <c r="C30" s="178">
        <v>78.44388508510343</v>
      </c>
      <c r="D30" s="178">
        <v>13.914494867277849</v>
      </c>
      <c r="E30" s="178">
        <v>6.132316666507452</v>
      </c>
      <c r="F30" s="178">
        <v>1.5093033811112717</v>
      </c>
      <c r="G30" s="102" t="s">
        <v>80</v>
      </c>
      <c r="H30" s="93"/>
    </row>
    <row r="31" spans="2:8" ht="12.75">
      <c r="B31" s="294" t="s">
        <v>92</v>
      </c>
      <c r="C31" s="473">
        <v>88.244959546776</v>
      </c>
      <c r="D31" s="473">
        <v>6.8070669940650514</v>
      </c>
      <c r="E31" s="473">
        <v>3.9333313477978415</v>
      </c>
      <c r="F31" s="473">
        <v>1.0146421113611173</v>
      </c>
      <c r="G31" s="294" t="s">
        <v>92</v>
      </c>
      <c r="H31" s="93"/>
    </row>
    <row r="32" spans="2:8" ht="12.75">
      <c r="B32" s="102" t="s">
        <v>102</v>
      </c>
      <c r="C32" s="178">
        <v>76.23156357988623</v>
      </c>
      <c r="D32" s="178">
        <v>12.258568844668714</v>
      </c>
      <c r="E32" s="178">
        <v>4.156701128015035</v>
      </c>
      <c r="F32" s="178">
        <v>7.353166447430014</v>
      </c>
      <c r="G32" s="102" t="s">
        <v>102</v>
      </c>
      <c r="H32" s="93"/>
    </row>
    <row r="33" spans="2:8" ht="12.75">
      <c r="B33" s="294" t="s">
        <v>83</v>
      </c>
      <c r="C33" s="473">
        <v>86.28266197728134</v>
      </c>
      <c r="D33" s="473">
        <v>11.389576518787567</v>
      </c>
      <c r="E33" s="473">
        <v>2.327761503931099</v>
      </c>
      <c r="F33" s="475" t="s">
        <v>146</v>
      </c>
      <c r="G33" s="294" t="s">
        <v>83</v>
      </c>
      <c r="H33" s="93"/>
    </row>
    <row r="34" spans="2:8" ht="12.75">
      <c r="B34" s="102" t="s">
        <v>85</v>
      </c>
      <c r="C34" s="178">
        <v>77.20432206711364</v>
      </c>
      <c r="D34" s="178">
        <v>14.947570446797348</v>
      </c>
      <c r="E34" s="178">
        <v>7.065098152707693</v>
      </c>
      <c r="F34" s="178">
        <v>0.7830093333813212</v>
      </c>
      <c r="G34" s="102" t="s">
        <v>85</v>
      </c>
      <c r="H34" s="93"/>
    </row>
    <row r="35" spans="2:8" ht="12.75">
      <c r="B35" s="294" t="s">
        <v>87</v>
      </c>
      <c r="C35" s="473">
        <v>84.30981575233383</v>
      </c>
      <c r="D35" s="473">
        <v>9.76266621780845</v>
      </c>
      <c r="E35" s="473">
        <v>5.247756787901545</v>
      </c>
      <c r="F35" s="473">
        <v>0.6797612419561586</v>
      </c>
      <c r="G35" s="294" t="s">
        <v>87</v>
      </c>
      <c r="H35" s="93"/>
    </row>
    <row r="36" spans="2:8" ht="12.75">
      <c r="B36" s="102" t="s">
        <v>88</v>
      </c>
      <c r="C36" s="178">
        <v>82.39490883840273</v>
      </c>
      <c r="D36" s="178">
        <v>6.635694608529231</v>
      </c>
      <c r="E36" s="178">
        <v>9.080286514923602</v>
      </c>
      <c r="F36" s="178">
        <v>1.8891100381444197</v>
      </c>
      <c r="G36" s="102" t="s">
        <v>88</v>
      </c>
      <c r="H36" s="93"/>
    </row>
    <row r="37" spans="2:8" ht="12.75">
      <c r="B37" s="294" t="s">
        <v>13</v>
      </c>
      <c r="C37" s="473">
        <v>84.62853819751774</v>
      </c>
      <c r="D37" s="473">
        <v>5.560758169346243</v>
      </c>
      <c r="E37" s="473">
        <v>8.225144350916533</v>
      </c>
      <c r="F37" s="473">
        <v>1.5855592822194866</v>
      </c>
      <c r="G37" s="294" t="s">
        <v>13</v>
      </c>
      <c r="H37" s="93"/>
    </row>
    <row r="38" spans="2:8" ht="12.75">
      <c r="B38" s="104" t="s">
        <v>310</v>
      </c>
      <c r="C38" s="456">
        <v>87.58947125375201</v>
      </c>
      <c r="D38" s="456">
        <v>12.27199261140614</v>
      </c>
      <c r="E38" s="456">
        <v>0.1385361348418379</v>
      </c>
      <c r="F38" s="476" t="s">
        <v>146</v>
      </c>
      <c r="G38" s="104" t="s">
        <v>310</v>
      </c>
      <c r="H38" s="93"/>
    </row>
    <row r="39" spans="2:8" ht="12.75">
      <c r="B39" s="294" t="s">
        <v>244</v>
      </c>
      <c r="C39" s="473">
        <v>95.72765921964148</v>
      </c>
      <c r="D39" s="473">
        <v>2.556843277766838</v>
      </c>
      <c r="E39" s="473">
        <v>1.715497502591673</v>
      </c>
      <c r="F39" s="475" t="s">
        <v>146</v>
      </c>
      <c r="G39" s="294" t="s">
        <v>244</v>
      </c>
      <c r="H39" s="93"/>
    </row>
    <row r="40" spans="2:8" ht="12.75">
      <c r="B40" s="102" t="s">
        <v>149</v>
      </c>
      <c r="C40" s="178">
        <v>80.34024510803074</v>
      </c>
      <c r="D40" s="178">
        <v>18.59346310121838</v>
      </c>
      <c r="E40" s="178">
        <v>1.0662917907508749</v>
      </c>
      <c r="F40" s="474" t="s">
        <v>146</v>
      </c>
      <c r="G40" s="102" t="s">
        <v>149</v>
      </c>
      <c r="H40" s="93"/>
    </row>
    <row r="41" spans="2:8" ht="12.75">
      <c r="B41" s="294" t="s">
        <v>245</v>
      </c>
      <c r="C41" s="473">
        <v>77.74578711017571</v>
      </c>
      <c r="D41" s="473">
        <v>20.23786152648497</v>
      </c>
      <c r="E41" s="473">
        <v>1.755326496787274</v>
      </c>
      <c r="F41" s="473">
        <v>0.261024866552034</v>
      </c>
      <c r="G41" s="294" t="s">
        <v>245</v>
      </c>
      <c r="H41" s="93"/>
    </row>
    <row r="42" spans="2:8" ht="12.75">
      <c r="B42" s="103" t="s">
        <v>150</v>
      </c>
      <c r="C42" s="184"/>
      <c r="D42" s="184"/>
      <c r="E42" s="184"/>
      <c r="F42" s="184"/>
      <c r="G42" s="103" t="s">
        <v>150</v>
      </c>
      <c r="H42" s="93"/>
    </row>
    <row r="43" spans="2:8" ht="12.75">
      <c r="B43" s="522" t="s">
        <v>151</v>
      </c>
      <c r="C43" s="603">
        <v>88.59383354125825</v>
      </c>
      <c r="D43" s="603">
        <v>11.406166458741758</v>
      </c>
      <c r="E43" s="475" t="s">
        <v>146</v>
      </c>
      <c r="F43" s="475" t="s">
        <v>146</v>
      </c>
      <c r="G43" s="522" t="s">
        <v>151</v>
      </c>
      <c r="H43" s="93"/>
    </row>
    <row r="44" spans="2:8" ht="12.75">
      <c r="B44" s="102" t="s">
        <v>152</v>
      </c>
      <c r="C44" s="178">
        <v>88.84036967172071</v>
      </c>
      <c r="D44" s="178">
        <v>5.398619833740705</v>
      </c>
      <c r="E44" s="178">
        <v>4.708266628677019</v>
      </c>
      <c r="F44" s="178">
        <v>1.0527438658615411</v>
      </c>
      <c r="G44" s="102" t="s">
        <v>152</v>
      </c>
      <c r="H44" s="93"/>
    </row>
    <row r="45" spans="2:8" ht="12.75">
      <c r="B45" s="477" t="s">
        <v>153</v>
      </c>
      <c r="C45" s="478">
        <v>77.066354266387</v>
      </c>
      <c r="D45" s="478">
        <v>5.043039351994546</v>
      </c>
      <c r="E45" s="478">
        <v>16.912595880475706</v>
      </c>
      <c r="F45" s="478">
        <v>0.9780105011427506</v>
      </c>
      <c r="G45" s="477" t="s">
        <v>153</v>
      </c>
      <c r="H45" s="93"/>
    </row>
    <row r="47" spans="2:7" ht="12.75">
      <c r="B47" s="185" t="s">
        <v>174</v>
      </c>
      <c r="C47" s="119"/>
      <c r="D47" s="186"/>
      <c r="E47" s="186"/>
      <c r="F47" s="186"/>
      <c r="G47" s="187"/>
    </row>
    <row r="48" spans="2:6" ht="35.25" customHeight="1">
      <c r="B48" s="1094" t="s">
        <v>325</v>
      </c>
      <c r="C48" s="1094"/>
      <c r="D48" s="1094"/>
      <c r="E48" s="1094"/>
      <c r="F48" s="1094"/>
    </row>
    <row r="49" spans="2:8" ht="12.75">
      <c r="B49" s="188" t="s">
        <v>260</v>
      </c>
      <c r="C49" s="189">
        <v>79.95773765474735</v>
      </c>
      <c r="D49" s="189">
        <v>9.009870861970066</v>
      </c>
      <c r="E49" s="189">
        <v>7.259812868252609</v>
      </c>
      <c r="F49" s="189">
        <v>1.6323572482437325</v>
      </c>
      <c r="G49" s="188" t="s">
        <v>260</v>
      </c>
      <c r="H49" s="93"/>
    </row>
    <row r="50" spans="2:8" ht="15" customHeight="1">
      <c r="B50" s="190" t="s">
        <v>89</v>
      </c>
      <c r="C50" s="191">
        <v>80.80637592065011</v>
      </c>
      <c r="D50" s="191">
        <v>8.16592547515237</v>
      </c>
      <c r="E50" s="191">
        <v>7.561897025801991</v>
      </c>
      <c r="F50" s="191">
        <v>1.377912624975369</v>
      </c>
      <c r="G50" s="190" t="s">
        <v>89</v>
      </c>
      <c r="H50" s="93"/>
    </row>
    <row r="51" spans="2:8" ht="12.75">
      <c r="B51" s="190" t="s">
        <v>261</v>
      </c>
      <c r="C51" s="191">
        <v>74.67808315165459</v>
      </c>
      <c r="D51" s="191">
        <v>14.260329438848416</v>
      </c>
      <c r="E51" s="191">
        <v>5.380449131311125</v>
      </c>
      <c r="F51" s="191">
        <v>3.2153399571338053</v>
      </c>
      <c r="G51" s="190" t="s">
        <v>261</v>
      </c>
      <c r="H51" s="93"/>
    </row>
    <row r="52" spans="3:5" ht="12.75">
      <c r="C52" s="192"/>
      <c r="D52" s="192"/>
      <c r="E52" s="192"/>
    </row>
    <row r="53" ht="12.75">
      <c r="B53" s="185" t="s">
        <v>262</v>
      </c>
    </row>
    <row r="57" ht="12.75">
      <c r="D57" s="595"/>
    </row>
  </sheetData>
  <sheetProtection/>
  <mergeCells count="4">
    <mergeCell ref="B2:G3"/>
    <mergeCell ref="B4:G4"/>
    <mergeCell ref="B5:F5"/>
    <mergeCell ref="B48:F4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AD50"/>
  <sheetViews>
    <sheetView zoomScalePageLayoutView="0" workbookViewId="0" topLeftCell="A1">
      <selection activeCell="A1" sqref="A1"/>
    </sheetView>
  </sheetViews>
  <sheetFormatPr defaultColWidth="9.140625" defaultRowHeight="12.75"/>
  <cols>
    <col min="1" max="1" width="2.7109375" style="624" customWidth="1"/>
    <col min="2" max="2" width="5.00390625" style="628" customWidth="1"/>
    <col min="3" max="4" width="7.7109375" style="628" customWidth="1"/>
    <col min="5" max="5" width="6.7109375" style="628" customWidth="1"/>
    <col min="6" max="9" width="7.7109375" style="628" customWidth="1"/>
    <col min="10" max="10" width="6.7109375" style="628" customWidth="1"/>
    <col min="11" max="14" width="7.7109375" style="628" customWidth="1"/>
    <col min="15" max="15" width="6.7109375" style="628" customWidth="1"/>
    <col min="16" max="28" width="7.7109375" style="628" customWidth="1"/>
    <col min="29" max="29" width="7.28125" style="628" customWidth="1"/>
    <col min="30" max="30" width="4.57421875" style="628" customWidth="1"/>
    <col min="31" max="16384" width="9.140625" style="628" customWidth="1"/>
  </cols>
  <sheetData>
    <row r="1" spans="2:30" ht="14.25" customHeight="1">
      <c r="B1" s="625"/>
      <c r="C1" s="626"/>
      <c r="D1" s="626"/>
      <c r="E1" s="626"/>
      <c r="F1" s="626"/>
      <c r="G1" s="626"/>
      <c r="H1" s="626"/>
      <c r="I1" s="626"/>
      <c r="J1" s="626"/>
      <c r="K1" s="626"/>
      <c r="L1" s="626"/>
      <c r="M1" s="626"/>
      <c r="N1" s="626"/>
      <c r="O1" s="626"/>
      <c r="P1" s="626"/>
      <c r="Q1" s="627"/>
      <c r="T1" s="629"/>
      <c r="U1" s="629"/>
      <c r="V1" s="629"/>
      <c r="W1" s="629"/>
      <c r="X1" s="629"/>
      <c r="Y1" s="629"/>
      <c r="Z1" s="629"/>
      <c r="AA1" s="629"/>
      <c r="AB1" s="629"/>
      <c r="AD1" s="629" t="s">
        <v>175</v>
      </c>
    </row>
    <row r="2" spans="1:30" s="631" customFormat="1" ht="30" customHeight="1">
      <c r="A2" s="630"/>
      <c r="B2" s="1095" t="s">
        <v>171</v>
      </c>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row>
    <row r="3" spans="3:29" ht="12" customHeight="1">
      <c r="C3" s="632"/>
      <c r="D3" s="632"/>
      <c r="E3" s="632"/>
      <c r="F3" s="632"/>
      <c r="G3" s="632"/>
      <c r="H3" s="632"/>
      <c r="I3" s="632"/>
      <c r="J3" s="632"/>
      <c r="K3" s="632"/>
      <c r="L3" s="632"/>
      <c r="M3" s="632"/>
      <c r="N3" s="632"/>
      <c r="O3" s="632"/>
      <c r="P3" s="632"/>
      <c r="Q3" s="632"/>
      <c r="R3" s="632"/>
      <c r="X3" s="632" t="s">
        <v>263</v>
      </c>
      <c r="Y3" s="632"/>
      <c r="Z3" s="632"/>
      <c r="AA3" s="632"/>
      <c r="AB3" s="632"/>
      <c r="AC3" s="633"/>
    </row>
    <row r="4" spans="2:30" ht="19.5" customHeight="1">
      <c r="B4" s="634"/>
      <c r="C4" s="635">
        <v>1970</v>
      </c>
      <c r="D4" s="635">
        <v>1980</v>
      </c>
      <c r="E4" s="636">
        <v>1990</v>
      </c>
      <c r="F4" s="636">
        <v>1991</v>
      </c>
      <c r="G4" s="636">
        <v>1992</v>
      </c>
      <c r="H4" s="636">
        <v>1993</v>
      </c>
      <c r="I4" s="636">
        <v>1994</v>
      </c>
      <c r="J4" s="636">
        <v>1995</v>
      </c>
      <c r="K4" s="636">
        <v>1996</v>
      </c>
      <c r="L4" s="636">
        <v>1997</v>
      </c>
      <c r="M4" s="636">
        <v>1998</v>
      </c>
      <c r="N4" s="636">
        <v>1999</v>
      </c>
      <c r="O4" s="636">
        <v>2000</v>
      </c>
      <c r="P4" s="636">
        <v>2001</v>
      </c>
      <c r="Q4" s="636">
        <v>2002</v>
      </c>
      <c r="R4" s="636">
        <v>2003</v>
      </c>
      <c r="S4" s="636">
        <v>2004</v>
      </c>
      <c r="T4" s="636">
        <v>2005</v>
      </c>
      <c r="U4" s="636">
        <v>2006</v>
      </c>
      <c r="V4" s="636">
        <v>2007</v>
      </c>
      <c r="W4" s="636">
        <v>2008</v>
      </c>
      <c r="X4" s="636">
        <v>2009</v>
      </c>
      <c r="Y4" s="636">
        <v>2010</v>
      </c>
      <c r="Z4" s="636">
        <v>2011</v>
      </c>
      <c r="AA4" s="636">
        <v>2012</v>
      </c>
      <c r="AB4" s="636">
        <v>2013</v>
      </c>
      <c r="AC4" s="637" t="s">
        <v>314</v>
      </c>
      <c r="AD4" s="638"/>
    </row>
    <row r="5" spans="2:30" ht="9.75" customHeight="1">
      <c r="B5" s="639"/>
      <c r="C5" s="640"/>
      <c r="D5" s="640"/>
      <c r="E5" s="641"/>
      <c r="F5" s="641"/>
      <c r="G5" s="641"/>
      <c r="H5" s="641"/>
      <c r="I5" s="641"/>
      <c r="J5" s="641"/>
      <c r="K5" s="641"/>
      <c r="L5" s="641"/>
      <c r="M5" s="641"/>
      <c r="N5" s="641"/>
      <c r="O5" s="641"/>
      <c r="P5" s="641"/>
      <c r="Q5" s="641"/>
      <c r="R5" s="641"/>
      <c r="S5" s="641"/>
      <c r="T5" s="641"/>
      <c r="U5" s="641"/>
      <c r="V5" s="641"/>
      <c r="W5" s="642"/>
      <c r="X5" s="642"/>
      <c r="Y5" s="642"/>
      <c r="Z5" s="642"/>
      <c r="AA5" s="642"/>
      <c r="AB5" s="642"/>
      <c r="AC5" s="643" t="s">
        <v>147</v>
      </c>
      <c r="AD5" s="638"/>
    </row>
    <row r="6" spans="2:30" ht="12.75" customHeight="1">
      <c r="B6" s="644" t="s">
        <v>260</v>
      </c>
      <c r="C6" s="645" t="s">
        <v>99</v>
      </c>
      <c r="D6" s="645" t="s">
        <v>99</v>
      </c>
      <c r="E6" s="646" t="s">
        <v>99</v>
      </c>
      <c r="F6" s="647" t="s">
        <v>99</v>
      </c>
      <c r="G6" s="647" t="s">
        <v>99</v>
      </c>
      <c r="H6" s="647" t="s">
        <v>99</v>
      </c>
      <c r="I6" s="647" t="s">
        <v>99</v>
      </c>
      <c r="J6" s="647">
        <f aca="true" t="shared" si="0" ref="J6:AA6">SUM(J9:J36)</f>
        <v>3934.847294982599</v>
      </c>
      <c r="K6" s="647">
        <f t="shared" si="0"/>
        <v>4002.98926340009</v>
      </c>
      <c r="L6" s="647">
        <f t="shared" si="0"/>
        <v>4087.1699724458103</v>
      </c>
      <c r="M6" s="647">
        <f t="shared" si="0"/>
        <v>4191.022267596563</v>
      </c>
      <c r="N6" s="647">
        <f t="shared" si="0"/>
        <v>4306.812758956324</v>
      </c>
      <c r="O6" s="647">
        <f t="shared" si="0"/>
        <v>4355.421721862861</v>
      </c>
      <c r="P6" s="647">
        <f t="shared" si="0"/>
        <v>4454.19860740878</v>
      </c>
      <c r="Q6" s="647">
        <f t="shared" si="0"/>
        <v>4542.34249902727</v>
      </c>
      <c r="R6" s="647">
        <f t="shared" si="0"/>
        <v>4585.56294581355</v>
      </c>
      <c r="S6" s="647">
        <f t="shared" si="0"/>
        <v>4651.570532845486</v>
      </c>
      <c r="T6" s="647">
        <f t="shared" si="0"/>
        <v>4591.316346663354</v>
      </c>
      <c r="U6" s="647">
        <f t="shared" si="0"/>
        <v>4636.341548390018</v>
      </c>
      <c r="V6" s="647">
        <f t="shared" si="0"/>
        <v>4690.040884478213</v>
      </c>
      <c r="W6" s="647">
        <f t="shared" si="0"/>
        <v>4698.437295387353</v>
      </c>
      <c r="X6" s="648">
        <f t="shared" si="0"/>
        <v>4773.793938781753</v>
      </c>
      <c r="Y6" s="648">
        <f t="shared" si="0"/>
        <v>4716.808302945146</v>
      </c>
      <c r="Z6" s="648">
        <f t="shared" si="0"/>
        <v>4697.827837385635</v>
      </c>
      <c r="AA6" s="648">
        <f t="shared" si="0"/>
        <v>4614.083445442448</v>
      </c>
      <c r="AB6" s="648">
        <f>SUM(AB9:AB36)</f>
        <v>4672.263601964249</v>
      </c>
      <c r="AC6" s="649">
        <f>AB6/AA6*100-100</f>
        <v>1.2609255382944724</v>
      </c>
      <c r="AD6" s="644" t="s">
        <v>260</v>
      </c>
    </row>
    <row r="7" spans="1:30" ht="12.75" customHeight="1">
      <c r="A7" s="650"/>
      <c r="B7" s="651" t="s">
        <v>89</v>
      </c>
      <c r="C7" s="652">
        <f>SUM(C9,C12:C13,C15,C16:C20,C24,C27:C28,C30,C34:C36)</f>
        <v>1557.1409999999998</v>
      </c>
      <c r="D7" s="652">
        <f>SUM(D9,D12:D13,D15,D16:D20,D24,D27:D28,D30,D34:D36)</f>
        <v>2229.8367150000004</v>
      </c>
      <c r="E7" s="653">
        <f aca="true" t="shared" si="1" ref="E7:AB7">SUM(E9,E12:E13,E15,E16:E18,E24,E27:E28,E30,E34:E36,E20)</f>
        <v>3153.4957674828834</v>
      </c>
      <c r="F7" s="654">
        <f t="shared" si="1"/>
        <v>3216.85312861667</v>
      </c>
      <c r="G7" s="654">
        <f t="shared" si="1"/>
        <v>3342.084532606532</v>
      </c>
      <c r="H7" s="654">
        <f t="shared" si="1"/>
        <v>3394.1583230930323</v>
      </c>
      <c r="I7" s="654">
        <f t="shared" si="1"/>
        <v>3513.624574052151</v>
      </c>
      <c r="J7" s="654">
        <f t="shared" si="1"/>
        <v>3578.6887994825993</v>
      </c>
      <c r="K7" s="654">
        <f t="shared" si="1"/>
        <v>3623.63226340009</v>
      </c>
      <c r="L7" s="654">
        <f t="shared" si="1"/>
        <v>3686.95097244581</v>
      </c>
      <c r="M7" s="654">
        <f t="shared" si="1"/>
        <v>3773.0118124965634</v>
      </c>
      <c r="N7" s="654">
        <f t="shared" si="1"/>
        <v>3872.2677589563236</v>
      </c>
      <c r="O7" s="654">
        <f t="shared" si="1"/>
        <v>3923.1656061628605</v>
      </c>
      <c r="P7" s="654">
        <f t="shared" si="1"/>
        <v>4015.3824544087797</v>
      </c>
      <c r="Q7" s="654">
        <f t="shared" si="1"/>
        <v>4091.87785942727</v>
      </c>
      <c r="R7" s="654">
        <f t="shared" si="1"/>
        <v>4117.9176343135505</v>
      </c>
      <c r="S7" s="654">
        <f t="shared" si="1"/>
        <v>4169.536132845486</v>
      </c>
      <c r="T7" s="654">
        <f t="shared" si="1"/>
        <v>4088.9068466633544</v>
      </c>
      <c r="U7" s="654">
        <f t="shared" si="1"/>
        <v>4111.260948390018</v>
      </c>
      <c r="V7" s="654">
        <f t="shared" si="1"/>
        <v>4145.529684478212</v>
      </c>
      <c r="W7" s="654">
        <f t="shared" si="1"/>
        <v>4136.835795387353</v>
      </c>
      <c r="X7" s="655">
        <f t="shared" si="1"/>
        <v>4196.054248781754</v>
      </c>
      <c r="Y7" s="655">
        <f t="shared" si="1"/>
        <v>4148.146962945148</v>
      </c>
      <c r="Z7" s="655">
        <f t="shared" si="1"/>
        <v>4121.823419221976</v>
      </c>
      <c r="AA7" s="655">
        <f t="shared" si="1"/>
        <v>4019.3170524621078</v>
      </c>
      <c r="AB7" s="655">
        <f t="shared" si="1"/>
        <v>4067.9768026827837</v>
      </c>
      <c r="AC7" s="656">
        <f aca="true" t="shared" si="2" ref="AC7:AC44">AB7/AA7*100-100</f>
        <v>1.2106472215439794</v>
      </c>
      <c r="AD7" s="651" t="s">
        <v>89</v>
      </c>
    </row>
    <row r="8" spans="1:30" ht="12.75" customHeight="1">
      <c r="A8" s="650"/>
      <c r="B8" s="657" t="s">
        <v>261</v>
      </c>
      <c r="C8" s="658"/>
      <c r="D8" s="658"/>
      <c r="E8" s="659"/>
      <c r="F8" s="660"/>
      <c r="G8" s="660"/>
      <c r="H8" s="660"/>
      <c r="I8" s="660"/>
      <c r="J8" s="660">
        <f aca="true" t="shared" si="3" ref="J8:AB8">J6-J7</f>
        <v>356.15849549999984</v>
      </c>
      <c r="K8" s="660">
        <f t="shared" si="3"/>
        <v>379.35699999999997</v>
      </c>
      <c r="L8" s="660">
        <f t="shared" si="3"/>
        <v>400.2190000000005</v>
      </c>
      <c r="M8" s="660">
        <f t="shared" si="3"/>
        <v>418.01045509999994</v>
      </c>
      <c r="N8" s="660">
        <f t="shared" si="3"/>
        <v>434.5450000000001</v>
      </c>
      <c r="O8" s="660">
        <f t="shared" si="3"/>
        <v>432.25611570000046</v>
      </c>
      <c r="P8" s="660">
        <f t="shared" si="3"/>
        <v>438.8161530000002</v>
      </c>
      <c r="Q8" s="660">
        <f t="shared" si="3"/>
        <v>450.4646395999998</v>
      </c>
      <c r="R8" s="660">
        <f t="shared" si="3"/>
        <v>467.6453114999995</v>
      </c>
      <c r="S8" s="660">
        <f t="shared" si="3"/>
        <v>482.03440000000046</v>
      </c>
      <c r="T8" s="660">
        <f t="shared" si="3"/>
        <v>502.40949999999975</v>
      </c>
      <c r="U8" s="660">
        <f t="shared" si="3"/>
        <v>525.0806000000002</v>
      </c>
      <c r="V8" s="660">
        <f t="shared" si="3"/>
        <v>544.5112000000008</v>
      </c>
      <c r="W8" s="660">
        <f t="shared" si="3"/>
        <v>561.6014999999998</v>
      </c>
      <c r="X8" s="661">
        <f t="shared" si="3"/>
        <v>577.7396899999994</v>
      </c>
      <c r="Y8" s="661">
        <f t="shared" si="3"/>
        <v>568.6613399999987</v>
      </c>
      <c r="Z8" s="661">
        <f t="shared" si="3"/>
        <v>576.0044181636586</v>
      </c>
      <c r="AA8" s="661">
        <f t="shared" si="3"/>
        <v>594.7663929803398</v>
      </c>
      <c r="AB8" s="661">
        <f t="shared" si="3"/>
        <v>604.2867992814649</v>
      </c>
      <c r="AC8" s="662">
        <f t="shared" si="2"/>
        <v>1.6006967464013826</v>
      </c>
      <c r="AD8" s="657" t="s">
        <v>261</v>
      </c>
    </row>
    <row r="9" spans="1:30" ht="12.75" customHeight="1">
      <c r="A9" s="650"/>
      <c r="B9" s="663" t="s">
        <v>60</v>
      </c>
      <c r="C9" s="664">
        <v>41.107</v>
      </c>
      <c r="D9" s="664">
        <v>64.577</v>
      </c>
      <c r="E9" s="665">
        <v>89.4865681549422</v>
      </c>
      <c r="F9" s="665">
        <v>93.17072549415899</v>
      </c>
      <c r="G9" s="665">
        <v>94.65159259661695</v>
      </c>
      <c r="H9" s="665">
        <v>95.1590269325277</v>
      </c>
      <c r="I9" s="665">
        <v>97.61982726007605</v>
      </c>
      <c r="J9" s="665">
        <v>96.41122844758948</v>
      </c>
      <c r="K9" s="665">
        <v>96.12470075061294</v>
      </c>
      <c r="L9" s="665">
        <v>97.95004181802459</v>
      </c>
      <c r="M9" s="665">
        <v>100.14564232032866</v>
      </c>
      <c r="N9" s="665">
        <v>102.03922550781316</v>
      </c>
      <c r="O9" s="665">
        <v>102.5443853038904</v>
      </c>
      <c r="P9" s="665">
        <v>103.44056228671244</v>
      </c>
      <c r="Q9" s="665">
        <v>104.84343859901594</v>
      </c>
      <c r="R9" s="665">
        <v>102.49487951863394</v>
      </c>
      <c r="S9" s="665">
        <v>103.03402541013166</v>
      </c>
      <c r="T9" s="665">
        <v>102.80426446068903</v>
      </c>
      <c r="U9" s="665">
        <v>102.65959801049536</v>
      </c>
      <c r="V9" s="665">
        <v>104.57039703409255</v>
      </c>
      <c r="W9" s="665">
        <v>107.94287032877924</v>
      </c>
      <c r="X9" s="665">
        <v>108.07377743339944</v>
      </c>
      <c r="Y9" s="665">
        <v>109.38776021905481</v>
      </c>
      <c r="Z9" s="665">
        <v>109.98538444629293</v>
      </c>
      <c r="AA9" s="665">
        <v>110.15689983778451</v>
      </c>
      <c r="AB9" s="665">
        <v>109.84478088724526</v>
      </c>
      <c r="AC9" s="666">
        <f t="shared" si="2"/>
        <v>-0.283340354529642</v>
      </c>
      <c r="AD9" s="663" t="s">
        <v>60</v>
      </c>
    </row>
    <row r="10" spans="1:30" ht="12.75" customHeight="1">
      <c r="A10" s="650"/>
      <c r="B10" s="651" t="s">
        <v>101</v>
      </c>
      <c r="C10" s="667" t="s">
        <v>99</v>
      </c>
      <c r="D10" s="667" t="s">
        <v>99</v>
      </c>
      <c r="E10" s="668"/>
      <c r="F10" s="668"/>
      <c r="G10" s="668"/>
      <c r="H10" s="668"/>
      <c r="I10" s="668"/>
      <c r="J10" s="669">
        <v>25</v>
      </c>
      <c r="K10" s="669">
        <v>24.5</v>
      </c>
      <c r="L10" s="669">
        <v>23.9</v>
      </c>
      <c r="M10" s="669">
        <v>24.6</v>
      </c>
      <c r="N10" s="669">
        <v>25.4</v>
      </c>
      <c r="O10" s="669">
        <v>26.9</v>
      </c>
      <c r="P10" s="669">
        <v>27.9</v>
      </c>
      <c r="Q10" s="669">
        <v>29.3</v>
      </c>
      <c r="R10" s="669">
        <v>30.7</v>
      </c>
      <c r="S10" s="669">
        <v>32.8</v>
      </c>
      <c r="T10" s="669">
        <v>35.1</v>
      </c>
      <c r="U10" s="669">
        <v>37.6</v>
      </c>
      <c r="V10" s="669">
        <v>40.4</v>
      </c>
      <c r="W10" s="669">
        <v>43.2</v>
      </c>
      <c r="X10" s="669">
        <v>46.3</v>
      </c>
      <c r="Y10" s="669">
        <v>46.9</v>
      </c>
      <c r="Z10" s="669">
        <v>48.06803748938479</v>
      </c>
      <c r="AA10" s="669">
        <v>49.702936925862396</v>
      </c>
      <c r="AB10" s="669">
        <v>51.3641140116175</v>
      </c>
      <c r="AC10" s="670">
        <f t="shared" si="2"/>
        <v>3.3422111217148824</v>
      </c>
      <c r="AD10" s="651" t="s">
        <v>101</v>
      </c>
    </row>
    <row r="11" spans="1:30" s="679" customFormat="1" ht="12.75" customHeight="1">
      <c r="A11" s="671"/>
      <c r="B11" s="663" t="s">
        <v>61</v>
      </c>
      <c r="C11" s="672"/>
      <c r="D11" s="672"/>
      <c r="E11" s="673"/>
      <c r="F11" s="674"/>
      <c r="G11" s="674"/>
      <c r="H11" s="674">
        <v>49</v>
      </c>
      <c r="I11" s="674">
        <v>51.7</v>
      </c>
      <c r="J11" s="674">
        <v>54.5</v>
      </c>
      <c r="K11" s="674">
        <v>57.9</v>
      </c>
      <c r="L11" s="674">
        <v>59</v>
      </c>
      <c r="M11" s="675">
        <v>59.726</v>
      </c>
      <c r="N11" s="674">
        <v>62.38</v>
      </c>
      <c r="O11" s="674">
        <v>63.94</v>
      </c>
      <c r="P11" s="674">
        <v>63.47</v>
      </c>
      <c r="Q11" s="674">
        <v>65.29</v>
      </c>
      <c r="R11" s="674">
        <v>67.36</v>
      </c>
      <c r="S11" s="674">
        <v>67.57</v>
      </c>
      <c r="T11" s="674">
        <v>68.64</v>
      </c>
      <c r="U11" s="674">
        <v>69.63</v>
      </c>
      <c r="V11" s="674">
        <v>71.54</v>
      </c>
      <c r="W11" s="674">
        <v>72.38</v>
      </c>
      <c r="X11" s="676">
        <v>72.29</v>
      </c>
      <c r="Y11" s="677">
        <v>63.57</v>
      </c>
      <c r="Z11" s="676">
        <v>65.49</v>
      </c>
      <c r="AA11" s="676">
        <v>64.62</v>
      </c>
      <c r="AB11" s="676">
        <v>64.65</v>
      </c>
      <c r="AC11" s="678">
        <f t="shared" si="2"/>
        <v>0.04642525533891728</v>
      </c>
      <c r="AD11" s="663" t="s">
        <v>61</v>
      </c>
    </row>
    <row r="12" spans="1:30" ht="12.75" customHeight="1">
      <c r="A12" s="650"/>
      <c r="B12" s="651" t="s">
        <v>14</v>
      </c>
      <c r="C12" s="667">
        <v>33.3</v>
      </c>
      <c r="D12" s="667">
        <f>38.027+0.458</f>
        <v>38.485</v>
      </c>
      <c r="E12" s="680">
        <v>47.191</v>
      </c>
      <c r="F12" s="680">
        <v>47.865</v>
      </c>
      <c r="G12" s="680">
        <v>48.126</v>
      </c>
      <c r="H12" s="680">
        <v>47.621</v>
      </c>
      <c r="I12" s="680">
        <v>47.77</v>
      </c>
      <c r="J12" s="680">
        <v>48.389</v>
      </c>
      <c r="K12" s="680">
        <v>49.042</v>
      </c>
      <c r="L12" s="680">
        <v>49.91</v>
      </c>
      <c r="M12" s="680">
        <v>50.328</v>
      </c>
      <c r="N12" s="680">
        <v>51.307</v>
      </c>
      <c r="O12" s="680">
        <f>50.187+0.429</f>
        <v>50.616</v>
      </c>
      <c r="P12" s="680">
        <f>49.183+0.438</f>
        <v>49.621</v>
      </c>
      <c r="Q12" s="680">
        <f>49.03+0.424</f>
        <v>49.454</v>
      </c>
      <c r="R12" s="680">
        <f>49.28+0.415</f>
        <v>49.695</v>
      </c>
      <c r="S12" s="680">
        <f>50.149+0.408</f>
        <v>50.557</v>
      </c>
      <c r="T12" s="680">
        <f>49.35+0.408</f>
        <v>49.758</v>
      </c>
      <c r="U12" s="680">
        <f>49.223+0.415</f>
        <v>49.638</v>
      </c>
      <c r="V12" s="680">
        <f>50.33+0.426</f>
        <v>50.756</v>
      </c>
      <c r="W12" s="680">
        <f>51.046+0.431</f>
        <v>51.477</v>
      </c>
      <c r="X12" s="680">
        <f>51.494+0.404</f>
        <v>51.898</v>
      </c>
      <c r="Y12" s="680">
        <f>51.305+0.392</f>
        <v>51.697</v>
      </c>
      <c r="Z12" s="680">
        <f>52.569+0.376</f>
        <v>52.945</v>
      </c>
      <c r="AA12" s="680">
        <f>52.241+0.359</f>
        <v>52.6</v>
      </c>
      <c r="AB12" s="680">
        <f>52.88+0.347</f>
        <v>53.227000000000004</v>
      </c>
      <c r="AC12" s="681">
        <f t="shared" si="2"/>
        <v>1.1920152091254863</v>
      </c>
      <c r="AD12" s="651" t="s">
        <v>14</v>
      </c>
    </row>
    <row r="13" spans="1:30" s="679" customFormat="1" ht="12.75" customHeight="1">
      <c r="A13" s="671"/>
      <c r="B13" s="663" t="s">
        <v>63</v>
      </c>
      <c r="C13" s="682">
        <v>394.6</v>
      </c>
      <c r="D13" s="682">
        <v>513.7</v>
      </c>
      <c r="E13" s="674">
        <v>683.1</v>
      </c>
      <c r="F13" s="674">
        <v>700</v>
      </c>
      <c r="G13" s="674">
        <v>719.5</v>
      </c>
      <c r="H13" s="683">
        <v>729.8</v>
      </c>
      <c r="I13" s="674">
        <v>807.0219025046072</v>
      </c>
      <c r="J13" s="674">
        <v>815.2976294348988</v>
      </c>
      <c r="K13" s="674">
        <v>816.0723829598729</v>
      </c>
      <c r="L13" s="674">
        <v>817.0706670210186</v>
      </c>
      <c r="M13" s="674">
        <v>828.068802348269</v>
      </c>
      <c r="N13" s="674">
        <v>848.4200042686394</v>
      </c>
      <c r="O13" s="674">
        <v>831.2665448417845</v>
      </c>
      <c r="P13" s="674">
        <v>852.6294387699498</v>
      </c>
      <c r="Q13" s="674">
        <v>862.987</v>
      </c>
      <c r="R13" s="674">
        <v>857.736</v>
      </c>
      <c r="S13" s="674">
        <v>868.65</v>
      </c>
      <c r="T13" s="674">
        <v>856.875</v>
      </c>
      <c r="U13" s="674">
        <v>863.328</v>
      </c>
      <c r="V13" s="674">
        <v>866.5310000000001</v>
      </c>
      <c r="W13" s="674">
        <v>871.328</v>
      </c>
      <c r="X13" s="674">
        <v>881.1</v>
      </c>
      <c r="Y13" s="674">
        <v>887</v>
      </c>
      <c r="Z13" s="674">
        <v>894.4</v>
      </c>
      <c r="AA13" s="674">
        <v>896.3</v>
      </c>
      <c r="AB13" s="674">
        <v>899.3</v>
      </c>
      <c r="AC13" s="684">
        <f t="shared" si="2"/>
        <v>0.33470936070511925</v>
      </c>
      <c r="AD13" s="663" t="s">
        <v>63</v>
      </c>
    </row>
    <row r="14" spans="1:30" ht="13.5" customHeight="1">
      <c r="A14" s="650"/>
      <c r="B14" s="651" t="s">
        <v>64</v>
      </c>
      <c r="C14" s="667" t="s">
        <v>99</v>
      </c>
      <c r="D14" s="667" t="s">
        <v>99</v>
      </c>
      <c r="E14" s="668" t="s">
        <v>99</v>
      </c>
      <c r="F14" s="668" t="s">
        <v>99</v>
      </c>
      <c r="G14" s="668" t="s">
        <v>99</v>
      </c>
      <c r="H14" s="668" t="s">
        <v>99</v>
      </c>
      <c r="I14" s="668" t="s">
        <v>99</v>
      </c>
      <c r="J14" s="669">
        <f>3.956535*1.3</f>
        <v>5.1434955</v>
      </c>
      <c r="K14" s="669">
        <v>5.5</v>
      </c>
      <c r="L14" s="669">
        <v>5.8</v>
      </c>
      <c r="M14" s="669">
        <f>4.763427*1.3</f>
        <v>6.1924551</v>
      </c>
      <c r="N14" s="669">
        <v>6.4</v>
      </c>
      <c r="O14" s="669">
        <f>5.140089*1.3</f>
        <v>6.6821157</v>
      </c>
      <c r="P14" s="669">
        <f>5.23781*1.3</f>
        <v>6.809152999999999</v>
      </c>
      <c r="Q14" s="669">
        <f>5.430492*1.3</f>
        <v>7.059639600000001</v>
      </c>
      <c r="R14" s="669">
        <f>5.894855*1.3</f>
        <v>7.6633115</v>
      </c>
      <c r="S14" s="668">
        <v>7.813</v>
      </c>
      <c r="T14" s="668">
        <v>9.929</v>
      </c>
      <c r="U14" s="668">
        <v>9.946</v>
      </c>
      <c r="V14" s="669">
        <v>10</v>
      </c>
      <c r="W14" s="669">
        <v>10.5</v>
      </c>
      <c r="X14" s="669">
        <v>10.5</v>
      </c>
      <c r="Y14" s="669">
        <v>10.1</v>
      </c>
      <c r="Z14" s="669">
        <v>10.381082222547919</v>
      </c>
      <c r="AA14" s="669">
        <v>10.808595077153129</v>
      </c>
      <c r="AB14" s="669">
        <v>11.24613332249695</v>
      </c>
      <c r="AC14" s="670">
        <f t="shared" si="2"/>
        <v>4.048058440718876</v>
      </c>
      <c r="AD14" s="651" t="s">
        <v>64</v>
      </c>
    </row>
    <row r="15" spans="1:30" ht="12.75" customHeight="1">
      <c r="A15" s="650"/>
      <c r="B15" s="663" t="s">
        <v>68</v>
      </c>
      <c r="C15" s="685">
        <v>10</v>
      </c>
      <c r="D15" s="685">
        <v>19</v>
      </c>
      <c r="E15" s="686">
        <v>28.507</v>
      </c>
      <c r="F15" s="686">
        <v>29.038</v>
      </c>
      <c r="G15" s="686">
        <v>29.52</v>
      </c>
      <c r="H15" s="686">
        <v>29.836</v>
      </c>
      <c r="I15" s="686">
        <v>30.56</v>
      </c>
      <c r="J15" s="686">
        <v>31.558</v>
      </c>
      <c r="K15" s="686">
        <v>32.8</v>
      </c>
      <c r="L15" s="686">
        <v>34.361</v>
      </c>
      <c r="M15" s="686">
        <v>35.756</v>
      </c>
      <c r="N15" s="686">
        <v>36.838</v>
      </c>
      <c r="O15" s="686">
        <v>34.608</v>
      </c>
      <c r="P15" s="687">
        <v>36.459</v>
      </c>
      <c r="Q15" s="687">
        <v>37.788</v>
      </c>
      <c r="R15" s="687">
        <v>39.9495</v>
      </c>
      <c r="S15" s="687">
        <v>42.627</v>
      </c>
      <c r="T15" s="687">
        <v>44.379</v>
      </c>
      <c r="U15" s="687">
        <v>45.99</v>
      </c>
      <c r="V15" s="687">
        <v>47.9595</v>
      </c>
      <c r="W15" s="687">
        <v>48.888</v>
      </c>
      <c r="X15" s="687">
        <v>48.858</v>
      </c>
      <c r="Y15" s="687">
        <v>48.0825</v>
      </c>
      <c r="Z15" s="687">
        <v>47.457</v>
      </c>
      <c r="AA15" s="687">
        <v>46.614</v>
      </c>
      <c r="AB15" s="687">
        <f>32.031*1.5</f>
        <v>48.046499999999995</v>
      </c>
      <c r="AC15" s="688">
        <f t="shared" si="2"/>
        <v>3.0731110825073813</v>
      </c>
      <c r="AD15" s="663" t="s">
        <v>68</v>
      </c>
    </row>
    <row r="16" spans="1:30" ht="12.75" customHeight="1">
      <c r="A16" s="650"/>
      <c r="B16" s="651" t="s">
        <v>15</v>
      </c>
      <c r="C16" s="689">
        <v>4.5</v>
      </c>
      <c r="D16" s="689">
        <v>17.5</v>
      </c>
      <c r="E16" s="669">
        <v>35</v>
      </c>
      <c r="F16" s="669">
        <v>36</v>
      </c>
      <c r="G16" s="669">
        <v>37</v>
      </c>
      <c r="H16" s="669">
        <v>39</v>
      </c>
      <c r="I16" s="669">
        <v>42</v>
      </c>
      <c r="J16" s="669">
        <v>44</v>
      </c>
      <c r="K16" s="669">
        <v>47</v>
      </c>
      <c r="L16" s="669">
        <v>50</v>
      </c>
      <c r="M16" s="669">
        <v>53</v>
      </c>
      <c r="N16" s="669">
        <v>58</v>
      </c>
      <c r="O16" s="669">
        <v>63</v>
      </c>
      <c r="P16" s="669">
        <v>68</v>
      </c>
      <c r="Q16" s="669">
        <v>72</v>
      </c>
      <c r="R16" s="669">
        <v>76</v>
      </c>
      <c r="S16" s="669">
        <v>80</v>
      </c>
      <c r="T16" s="669">
        <v>85</v>
      </c>
      <c r="U16" s="669">
        <v>90</v>
      </c>
      <c r="V16" s="669">
        <v>95</v>
      </c>
      <c r="W16" s="669">
        <v>100</v>
      </c>
      <c r="X16" s="669">
        <v>101.3</v>
      </c>
      <c r="Y16" s="669">
        <v>99.6</v>
      </c>
      <c r="Z16" s="669">
        <v>98.32207994126013</v>
      </c>
      <c r="AA16" s="669">
        <v>96.93448152779109</v>
      </c>
      <c r="AB16" s="669">
        <v>95.8113792150171</v>
      </c>
      <c r="AC16" s="670">
        <f t="shared" si="2"/>
        <v>-1.1586200236207986</v>
      </c>
      <c r="AD16" s="651" t="s">
        <v>15</v>
      </c>
    </row>
    <row r="17" spans="1:30" ht="12.75" customHeight="1">
      <c r="A17" s="650"/>
      <c r="B17" s="663" t="s">
        <v>66</v>
      </c>
      <c r="C17" s="664">
        <v>64.3</v>
      </c>
      <c r="D17" s="664">
        <v>130.9</v>
      </c>
      <c r="E17" s="690">
        <v>174.4</v>
      </c>
      <c r="F17" s="691">
        <v>207.542</v>
      </c>
      <c r="G17" s="692">
        <v>218.27</v>
      </c>
      <c r="H17" s="692">
        <v>229</v>
      </c>
      <c r="I17" s="692">
        <v>239.7</v>
      </c>
      <c r="J17" s="691">
        <v>250.374</v>
      </c>
      <c r="K17" s="692">
        <v>259</v>
      </c>
      <c r="L17" s="692">
        <v>267.6</v>
      </c>
      <c r="M17" s="691">
        <v>276.173</v>
      </c>
      <c r="N17" s="691">
        <v>293.54</v>
      </c>
      <c r="O17" s="691">
        <v>302.611</v>
      </c>
      <c r="P17" s="691">
        <v>307.955</v>
      </c>
      <c r="Q17" s="692">
        <v>315</v>
      </c>
      <c r="R17" s="691">
        <v>321.928</v>
      </c>
      <c r="S17" s="691">
        <v>330.192</v>
      </c>
      <c r="T17" s="691">
        <v>337.797</v>
      </c>
      <c r="U17" s="691">
        <v>340.937</v>
      </c>
      <c r="V17" s="691">
        <v>343.293</v>
      </c>
      <c r="W17" s="691">
        <v>342.611</v>
      </c>
      <c r="X17" s="691">
        <v>350.401</v>
      </c>
      <c r="Y17" s="691">
        <v>341.629</v>
      </c>
      <c r="Z17" s="691">
        <v>334.021</v>
      </c>
      <c r="AA17" s="691">
        <v>321.045</v>
      </c>
      <c r="AB17" s="691">
        <v>316.539</v>
      </c>
      <c r="AC17" s="666">
        <f t="shared" si="2"/>
        <v>-1.4035415595944585</v>
      </c>
      <c r="AD17" s="663" t="s">
        <v>66</v>
      </c>
    </row>
    <row r="18" spans="1:30" ht="12.75" customHeight="1">
      <c r="A18" s="650"/>
      <c r="B18" s="651" t="s">
        <v>67</v>
      </c>
      <c r="C18" s="667">
        <v>304.7</v>
      </c>
      <c r="D18" s="667">
        <v>443.84071500000005</v>
      </c>
      <c r="E18" s="668">
        <v>611.0881870963859</v>
      </c>
      <c r="F18" s="668">
        <v>618.6218919926387</v>
      </c>
      <c r="G18" s="668">
        <v>636.3514657788559</v>
      </c>
      <c r="H18" s="668">
        <v>641.7842961605052</v>
      </c>
      <c r="I18" s="668">
        <v>654.1998442874677</v>
      </c>
      <c r="J18" s="668">
        <v>671.6679416001115</v>
      </c>
      <c r="K18" s="668">
        <v>678.9887077295499</v>
      </c>
      <c r="L18" s="668">
        <v>693.5828211521514</v>
      </c>
      <c r="M18" s="668">
        <v>718.2458452414986</v>
      </c>
      <c r="N18" s="668">
        <v>741.2243272036753</v>
      </c>
      <c r="O18" s="668">
        <v>744.5421635264651</v>
      </c>
      <c r="P18" s="668">
        <v>776.1084113598272</v>
      </c>
      <c r="Q18" s="668">
        <v>786.3240370641106</v>
      </c>
      <c r="R18" s="668">
        <v>793.0379689600292</v>
      </c>
      <c r="S18" s="668">
        <v>794.5288360831348</v>
      </c>
      <c r="T18" s="668">
        <v>788.1357249798089</v>
      </c>
      <c r="U18" s="668">
        <v>789.0953246869276</v>
      </c>
      <c r="V18" s="668">
        <v>799.2308952908891</v>
      </c>
      <c r="W18" s="668">
        <v>786.6053723506748</v>
      </c>
      <c r="X18" s="668">
        <v>788.9690071732314</v>
      </c>
      <c r="Y18" s="668">
        <v>796.8752477859956</v>
      </c>
      <c r="Z18" s="668">
        <v>798.7243718692016</v>
      </c>
      <c r="AA18" s="668">
        <v>801.0625066981125</v>
      </c>
      <c r="AB18" s="668">
        <v>805.5</v>
      </c>
      <c r="AC18" s="693">
        <f t="shared" si="2"/>
        <v>0.5539509420030555</v>
      </c>
      <c r="AD18" s="651" t="s">
        <v>67</v>
      </c>
    </row>
    <row r="19" spans="1:30" ht="12.75" customHeight="1">
      <c r="A19" s="650"/>
      <c r="B19" s="663" t="s">
        <v>148</v>
      </c>
      <c r="C19" s="682"/>
      <c r="D19" s="682"/>
      <c r="E19" s="674"/>
      <c r="F19" s="674"/>
      <c r="G19" s="674"/>
      <c r="H19" s="674"/>
      <c r="I19" s="674"/>
      <c r="J19" s="675">
        <v>12.5</v>
      </c>
      <c r="K19" s="675">
        <v>14.75</v>
      </c>
      <c r="L19" s="675">
        <v>16.5</v>
      </c>
      <c r="M19" s="675">
        <v>17.5</v>
      </c>
      <c r="N19" s="675">
        <v>19</v>
      </c>
      <c r="O19" s="675">
        <v>20</v>
      </c>
      <c r="P19" s="675">
        <v>21</v>
      </c>
      <c r="Q19" s="675">
        <v>22</v>
      </c>
      <c r="R19" s="675">
        <v>22.5</v>
      </c>
      <c r="S19" s="675">
        <v>23.5</v>
      </c>
      <c r="T19" s="675">
        <v>24</v>
      </c>
      <c r="U19" s="675">
        <v>25</v>
      </c>
      <c r="V19" s="675">
        <v>26</v>
      </c>
      <c r="W19" s="675">
        <v>27</v>
      </c>
      <c r="X19" s="675">
        <v>26.8</v>
      </c>
      <c r="Y19" s="675">
        <v>25.7</v>
      </c>
      <c r="Z19" s="674">
        <v>25.242</v>
      </c>
      <c r="AA19" s="674">
        <v>26.147</v>
      </c>
      <c r="AB19" s="674">
        <v>26.145</v>
      </c>
      <c r="AC19" s="684">
        <f t="shared" si="2"/>
        <v>-0.007649061077756869</v>
      </c>
      <c r="AD19" s="663" t="s">
        <v>148</v>
      </c>
    </row>
    <row r="20" spans="1:30" s="679" customFormat="1" ht="12.75" customHeight="1">
      <c r="A20" s="671"/>
      <c r="B20" s="694" t="s">
        <v>69</v>
      </c>
      <c r="C20" s="695">
        <v>211.934</v>
      </c>
      <c r="D20" s="695">
        <v>324.034</v>
      </c>
      <c r="E20" s="696">
        <v>522.593</v>
      </c>
      <c r="F20" s="697">
        <v>538.27</v>
      </c>
      <c r="G20" s="697">
        <v>602.21</v>
      </c>
      <c r="H20" s="697">
        <v>603.09</v>
      </c>
      <c r="I20" s="698">
        <v>600.3</v>
      </c>
      <c r="J20" s="698">
        <v>614.713</v>
      </c>
      <c r="K20" s="698">
        <v>627.383</v>
      </c>
      <c r="L20" s="698">
        <v>638.837</v>
      </c>
      <c r="M20" s="698">
        <v>662.545</v>
      </c>
      <c r="N20" s="699">
        <v>663.319</v>
      </c>
      <c r="O20" s="700">
        <v>713.931</v>
      </c>
      <c r="P20" s="698">
        <f>O20+($T$18-$O$18)/5</f>
        <v>722.6497122906688</v>
      </c>
      <c r="Q20" s="698">
        <f>P20+($T$18-$O$18)/5</f>
        <v>731.3684245813376</v>
      </c>
      <c r="R20" s="698">
        <f>Q20+($T$18-$O$18)/5</f>
        <v>740.0871368720065</v>
      </c>
      <c r="S20" s="698">
        <f>R20+($T$18-$O$18)/5</f>
        <v>748.8058491626753</v>
      </c>
      <c r="T20" s="698">
        <v>677.014</v>
      </c>
      <c r="U20" s="698">
        <v>676.255</v>
      </c>
      <c r="V20" s="698">
        <v>677.056</v>
      </c>
      <c r="W20" s="698">
        <v>676.359</v>
      </c>
      <c r="X20" s="698">
        <v>719.912</v>
      </c>
      <c r="Y20" s="698">
        <v>698.39</v>
      </c>
      <c r="Z20" s="698">
        <v>665.328</v>
      </c>
      <c r="AA20" s="698">
        <v>578.668</v>
      </c>
      <c r="AB20" s="698">
        <v>620.368</v>
      </c>
      <c r="AC20" s="701">
        <f t="shared" si="2"/>
        <v>7.206204593998635</v>
      </c>
      <c r="AD20" s="694" t="s">
        <v>69</v>
      </c>
    </row>
    <row r="21" spans="1:30" ht="12.75" customHeight="1">
      <c r="A21" s="650"/>
      <c r="B21" s="663" t="s">
        <v>71</v>
      </c>
      <c r="C21" s="682" t="s">
        <v>99</v>
      </c>
      <c r="D21" s="682" t="s">
        <v>99</v>
      </c>
      <c r="E21" s="674" t="s">
        <v>99</v>
      </c>
      <c r="F21" s="674" t="s">
        <v>99</v>
      </c>
      <c r="G21" s="674" t="s">
        <v>99</v>
      </c>
      <c r="H21" s="674" t="s">
        <v>99</v>
      </c>
      <c r="I21" s="674" t="s">
        <v>99</v>
      </c>
      <c r="J21" s="702">
        <v>3.4</v>
      </c>
      <c r="K21" s="702">
        <v>3.5</v>
      </c>
      <c r="L21" s="702">
        <v>3.6</v>
      </c>
      <c r="M21" s="702">
        <v>3.7</v>
      </c>
      <c r="N21" s="702">
        <v>3.8</v>
      </c>
      <c r="O21" s="702">
        <v>3.9</v>
      </c>
      <c r="P21" s="702">
        <v>4</v>
      </c>
      <c r="Q21" s="702">
        <v>4.1</v>
      </c>
      <c r="R21" s="702">
        <v>4.15</v>
      </c>
      <c r="S21" s="675">
        <v>4.6</v>
      </c>
      <c r="T21" s="675">
        <v>4.8</v>
      </c>
      <c r="U21" s="675">
        <v>5</v>
      </c>
      <c r="V21" s="675">
        <v>5.3</v>
      </c>
      <c r="W21" s="675">
        <v>5.75</v>
      </c>
      <c r="X21" s="675">
        <v>6</v>
      </c>
      <c r="Y21" s="675">
        <v>5.9</v>
      </c>
      <c r="Z21" s="675">
        <v>5.93190592556501</v>
      </c>
      <c r="AA21" s="675">
        <v>5.951576551601025</v>
      </c>
      <c r="AB21" s="675">
        <v>5.921143432419876</v>
      </c>
      <c r="AC21" s="688">
        <f t="shared" si="2"/>
        <v>-0.5113455051327946</v>
      </c>
      <c r="AD21" s="663" t="s">
        <v>71</v>
      </c>
    </row>
    <row r="22" spans="1:30" s="679" customFormat="1" ht="12.75" customHeight="1">
      <c r="A22" s="671"/>
      <c r="B22" s="694" t="s">
        <v>72</v>
      </c>
      <c r="C22" s="695" t="s">
        <v>99</v>
      </c>
      <c r="D22" s="695" t="s">
        <v>99</v>
      </c>
      <c r="E22" s="698" t="s">
        <v>99</v>
      </c>
      <c r="F22" s="698" t="s">
        <v>99</v>
      </c>
      <c r="G22" s="698" t="s">
        <v>99</v>
      </c>
      <c r="H22" s="698" t="s">
        <v>99</v>
      </c>
      <c r="I22" s="698" t="s">
        <v>99</v>
      </c>
      <c r="J22" s="703">
        <v>7.5</v>
      </c>
      <c r="K22" s="703">
        <v>8</v>
      </c>
      <c r="L22" s="703">
        <v>9</v>
      </c>
      <c r="M22" s="703">
        <v>10</v>
      </c>
      <c r="N22" s="703">
        <v>11</v>
      </c>
      <c r="O22" s="703">
        <v>11.5</v>
      </c>
      <c r="P22" s="703">
        <v>12</v>
      </c>
      <c r="Q22" s="703">
        <v>12.5</v>
      </c>
      <c r="R22" s="703">
        <v>13</v>
      </c>
      <c r="S22" s="697">
        <v>11.5064</v>
      </c>
      <c r="T22" s="698">
        <v>12.1115</v>
      </c>
      <c r="U22" s="697">
        <v>14.0196</v>
      </c>
      <c r="V22" s="697">
        <v>15.9572</v>
      </c>
      <c r="W22" s="698">
        <v>14.2525</v>
      </c>
      <c r="X22" s="698">
        <v>12.70369</v>
      </c>
      <c r="Y22" s="698">
        <v>12.31234</v>
      </c>
      <c r="Z22" s="698">
        <v>11.3499</v>
      </c>
      <c r="AA22" s="698">
        <v>11.528</v>
      </c>
      <c r="AB22" s="698">
        <v>11.7334</v>
      </c>
      <c r="AC22" s="701">
        <f t="shared" si="2"/>
        <v>1.7817487855655685</v>
      </c>
      <c r="AD22" s="694" t="s">
        <v>72</v>
      </c>
    </row>
    <row r="23" spans="1:30" ht="12.75" customHeight="1">
      <c r="A23" s="650"/>
      <c r="B23" s="663" t="s">
        <v>73</v>
      </c>
      <c r="C23" s="682" t="s">
        <v>99</v>
      </c>
      <c r="D23" s="682" t="s">
        <v>99</v>
      </c>
      <c r="E23" s="674" t="s">
        <v>99</v>
      </c>
      <c r="F23" s="674" t="s">
        <v>99</v>
      </c>
      <c r="G23" s="674" t="s">
        <v>99</v>
      </c>
      <c r="H23" s="674" t="s">
        <v>99</v>
      </c>
      <c r="I23" s="674" t="s">
        <v>99</v>
      </c>
      <c r="J23" s="675">
        <v>16</v>
      </c>
      <c r="K23" s="675">
        <v>18</v>
      </c>
      <c r="L23" s="675">
        <v>20</v>
      </c>
      <c r="M23" s="675">
        <v>22</v>
      </c>
      <c r="N23" s="675">
        <v>25</v>
      </c>
      <c r="O23" s="675">
        <v>26</v>
      </c>
      <c r="P23" s="675">
        <v>26</v>
      </c>
      <c r="Q23" s="675">
        <v>26</v>
      </c>
      <c r="R23" s="675">
        <v>29</v>
      </c>
      <c r="S23" s="675">
        <v>31</v>
      </c>
      <c r="T23" s="674">
        <v>34.793</v>
      </c>
      <c r="U23" s="674">
        <v>39.472</v>
      </c>
      <c r="V23" s="674">
        <v>39.119</v>
      </c>
      <c r="W23" s="674">
        <v>37.991</v>
      </c>
      <c r="X23" s="674">
        <v>36.055</v>
      </c>
      <c r="Y23" s="674">
        <v>32.569</v>
      </c>
      <c r="Z23" s="674">
        <v>29.908</v>
      </c>
      <c r="AA23" s="674">
        <v>34.191</v>
      </c>
      <c r="AB23" s="674">
        <v>33.325</v>
      </c>
      <c r="AC23" s="688">
        <f t="shared" si="2"/>
        <v>-2.5328302769734705</v>
      </c>
      <c r="AD23" s="663" t="s">
        <v>73</v>
      </c>
    </row>
    <row r="24" spans="1:30" s="679" customFormat="1" ht="12.75" customHeight="1">
      <c r="A24" s="671"/>
      <c r="B24" s="694" t="s">
        <v>76</v>
      </c>
      <c r="C24" s="704">
        <v>2.1</v>
      </c>
      <c r="D24" s="704">
        <v>2.7</v>
      </c>
      <c r="E24" s="697">
        <v>4</v>
      </c>
      <c r="F24" s="697">
        <v>4.15</v>
      </c>
      <c r="G24" s="697">
        <v>4.3</v>
      </c>
      <c r="H24" s="697">
        <v>4.5</v>
      </c>
      <c r="I24" s="697">
        <v>4.6</v>
      </c>
      <c r="J24" s="697">
        <v>4.7</v>
      </c>
      <c r="K24" s="697">
        <v>4.8</v>
      </c>
      <c r="L24" s="697">
        <v>4.9</v>
      </c>
      <c r="M24" s="697">
        <v>5</v>
      </c>
      <c r="N24" s="697">
        <v>5</v>
      </c>
      <c r="O24" s="697">
        <v>5.6</v>
      </c>
      <c r="P24" s="697">
        <v>5.8</v>
      </c>
      <c r="Q24" s="697">
        <v>5.9</v>
      </c>
      <c r="R24" s="697">
        <v>6</v>
      </c>
      <c r="S24" s="697">
        <v>6.1</v>
      </c>
      <c r="T24" s="697">
        <v>6.3</v>
      </c>
      <c r="U24" s="697">
        <v>6.5</v>
      </c>
      <c r="V24" s="697">
        <v>6.6</v>
      </c>
      <c r="W24" s="697">
        <v>6.7</v>
      </c>
      <c r="X24" s="697">
        <v>6.7</v>
      </c>
      <c r="Y24" s="697">
        <v>6.5</v>
      </c>
      <c r="Z24" s="697">
        <v>6.591758023581571</v>
      </c>
      <c r="AA24" s="697">
        <v>6.733132688657702</v>
      </c>
      <c r="AB24" s="697">
        <v>6.850930549747795</v>
      </c>
      <c r="AC24" s="705">
        <f t="shared" si="2"/>
        <v>1.7495253181112815</v>
      </c>
      <c r="AD24" s="694" t="s">
        <v>76</v>
      </c>
    </row>
    <row r="25" spans="1:30" ht="12.75" customHeight="1">
      <c r="A25" s="650"/>
      <c r="B25" s="663" t="s">
        <v>77</v>
      </c>
      <c r="C25" s="682" t="s">
        <v>99</v>
      </c>
      <c r="D25" s="682" t="s">
        <v>99</v>
      </c>
      <c r="E25" s="674">
        <v>47</v>
      </c>
      <c r="F25" s="674">
        <v>46.8</v>
      </c>
      <c r="G25" s="674">
        <v>44.6</v>
      </c>
      <c r="H25" s="674">
        <v>44</v>
      </c>
      <c r="I25" s="674">
        <v>44.9</v>
      </c>
      <c r="J25" s="674">
        <v>45.4</v>
      </c>
      <c r="K25" s="674">
        <v>45.6</v>
      </c>
      <c r="L25" s="674">
        <v>46.1</v>
      </c>
      <c r="M25" s="674">
        <v>46.15</v>
      </c>
      <c r="N25" s="674">
        <v>46.17</v>
      </c>
      <c r="O25" s="674">
        <v>46.18</v>
      </c>
      <c r="P25" s="674">
        <v>46.18</v>
      </c>
      <c r="Q25" s="674">
        <v>46.3</v>
      </c>
      <c r="R25" s="674">
        <v>47.517</v>
      </c>
      <c r="S25" s="674">
        <v>49.121</v>
      </c>
      <c r="T25" s="683">
        <v>49.403</v>
      </c>
      <c r="U25" s="674">
        <v>52.315</v>
      </c>
      <c r="V25" s="674">
        <v>53.946</v>
      </c>
      <c r="W25" s="674">
        <v>54.005</v>
      </c>
      <c r="X25" s="674">
        <v>54.396</v>
      </c>
      <c r="Y25" s="674">
        <v>52.595</v>
      </c>
      <c r="Z25" s="674">
        <v>52.251</v>
      </c>
      <c r="AA25" s="674">
        <v>51.793</v>
      </c>
      <c r="AB25" s="674">
        <v>51.824</v>
      </c>
      <c r="AC25" s="688">
        <f t="shared" si="2"/>
        <v>0.05985364817640004</v>
      </c>
      <c r="AD25" s="663" t="s">
        <v>77</v>
      </c>
    </row>
    <row r="26" spans="1:30" s="679" customFormat="1" ht="12.75" customHeight="1">
      <c r="A26" s="671"/>
      <c r="B26" s="694" t="s">
        <v>78</v>
      </c>
      <c r="C26" s="695" t="s">
        <v>99</v>
      </c>
      <c r="D26" s="695" t="s">
        <v>99</v>
      </c>
      <c r="E26" s="698" t="s">
        <v>99</v>
      </c>
      <c r="F26" s="698" t="s">
        <v>99</v>
      </c>
      <c r="G26" s="698" t="s">
        <v>99</v>
      </c>
      <c r="H26" s="698" t="s">
        <v>99</v>
      </c>
      <c r="I26" s="698" t="s">
        <v>99</v>
      </c>
      <c r="J26" s="697">
        <v>1.7</v>
      </c>
      <c r="K26" s="697">
        <v>1.72</v>
      </c>
      <c r="L26" s="697">
        <v>1.74</v>
      </c>
      <c r="M26" s="697">
        <v>1.76</v>
      </c>
      <c r="N26" s="697">
        <v>1.78</v>
      </c>
      <c r="O26" s="697">
        <v>1.8</v>
      </c>
      <c r="P26" s="697">
        <v>1.8</v>
      </c>
      <c r="Q26" s="697">
        <v>1.85</v>
      </c>
      <c r="R26" s="697">
        <v>1.9</v>
      </c>
      <c r="S26" s="697">
        <v>1.95</v>
      </c>
      <c r="T26" s="697">
        <v>2</v>
      </c>
      <c r="U26" s="697">
        <v>2.05</v>
      </c>
      <c r="V26" s="697">
        <v>2.1</v>
      </c>
      <c r="W26" s="697">
        <v>2.15</v>
      </c>
      <c r="X26" s="697">
        <v>2.2</v>
      </c>
      <c r="Y26" s="697">
        <v>2.2</v>
      </c>
      <c r="Z26" s="697">
        <v>2.2297181531995443</v>
      </c>
      <c r="AA26" s="697">
        <v>2.240448897501395</v>
      </c>
      <c r="AB26" s="697">
        <v>2.291235362302769</v>
      </c>
      <c r="AC26" s="705">
        <f t="shared" si="2"/>
        <v>2.2667986249546743</v>
      </c>
      <c r="AD26" s="694" t="s">
        <v>78</v>
      </c>
    </row>
    <row r="27" spans="1:30" ht="12.75" customHeight="1">
      <c r="A27" s="650"/>
      <c r="B27" s="663" t="s">
        <v>16</v>
      </c>
      <c r="C27" s="682">
        <v>67.1</v>
      </c>
      <c r="D27" s="706">
        <v>108.1</v>
      </c>
      <c r="E27" s="674">
        <v>137.3</v>
      </c>
      <c r="F27" s="674">
        <v>124.5</v>
      </c>
      <c r="G27" s="674">
        <v>129.1</v>
      </c>
      <c r="H27" s="674">
        <v>126.1</v>
      </c>
      <c r="I27" s="674">
        <v>128.8</v>
      </c>
      <c r="J27" s="674">
        <v>131.4</v>
      </c>
      <c r="K27" s="674">
        <v>132.7</v>
      </c>
      <c r="L27" s="674">
        <v>136.5</v>
      </c>
      <c r="M27" s="674">
        <v>137.1</v>
      </c>
      <c r="N27" s="674">
        <v>141.3</v>
      </c>
      <c r="O27" s="674">
        <v>141.1</v>
      </c>
      <c r="P27" s="674">
        <v>141.6</v>
      </c>
      <c r="Q27" s="674">
        <v>144.2</v>
      </c>
      <c r="R27" s="674">
        <v>146.1</v>
      </c>
      <c r="S27" s="674">
        <v>151.6</v>
      </c>
      <c r="T27" s="674">
        <v>148.8</v>
      </c>
      <c r="U27" s="674">
        <v>148</v>
      </c>
      <c r="V27" s="674">
        <v>148.8</v>
      </c>
      <c r="W27" s="674">
        <v>147</v>
      </c>
      <c r="X27" s="675">
        <v>146.3</v>
      </c>
      <c r="Y27" s="707">
        <v>135.1</v>
      </c>
      <c r="Z27" s="674">
        <v>140.1</v>
      </c>
      <c r="AA27" s="674">
        <v>136.4</v>
      </c>
      <c r="AB27" s="674">
        <f>99.2+46.2</f>
        <v>145.4</v>
      </c>
      <c r="AC27" s="688">
        <f t="shared" si="2"/>
        <v>6.598240469208207</v>
      </c>
      <c r="AD27" s="663" t="s">
        <v>16</v>
      </c>
    </row>
    <row r="28" spans="1:30" s="679" customFormat="1" ht="12.75" customHeight="1">
      <c r="A28" s="671"/>
      <c r="B28" s="694" t="s">
        <v>81</v>
      </c>
      <c r="C28" s="695">
        <v>32.9</v>
      </c>
      <c r="D28" s="695">
        <v>47.8</v>
      </c>
      <c r="E28" s="698">
        <v>55.677</v>
      </c>
      <c r="F28" s="698">
        <v>57.391</v>
      </c>
      <c r="G28" s="698">
        <v>58.959</v>
      </c>
      <c r="H28" s="698">
        <v>59.785</v>
      </c>
      <c r="I28" s="698">
        <v>61.803</v>
      </c>
      <c r="J28" s="698">
        <v>62.156</v>
      </c>
      <c r="K28" s="698">
        <v>63.073</v>
      </c>
      <c r="L28" s="698">
        <v>63.864</v>
      </c>
      <c r="M28" s="698">
        <v>64.861</v>
      </c>
      <c r="N28" s="698">
        <v>66.11</v>
      </c>
      <c r="O28" s="698">
        <v>66.668</v>
      </c>
      <c r="P28" s="698">
        <v>67.104</v>
      </c>
      <c r="Q28" s="698">
        <v>67.96</v>
      </c>
      <c r="R28" s="698">
        <v>68.941</v>
      </c>
      <c r="S28" s="698">
        <v>69.608</v>
      </c>
      <c r="T28" s="698">
        <v>70.557</v>
      </c>
      <c r="U28" s="698">
        <v>70.893</v>
      </c>
      <c r="V28" s="698">
        <v>72.023</v>
      </c>
      <c r="W28" s="698">
        <v>73.281</v>
      </c>
      <c r="X28" s="698">
        <v>72.675</v>
      </c>
      <c r="Y28" s="698">
        <v>73.467</v>
      </c>
      <c r="Z28" s="698">
        <v>74.451</v>
      </c>
      <c r="AA28" s="698">
        <v>74.154</v>
      </c>
      <c r="AB28" s="698">
        <v>74.837</v>
      </c>
      <c r="AC28" s="701">
        <f t="shared" si="2"/>
        <v>0.9210561803813846</v>
      </c>
      <c r="AD28" s="694" t="s">
        <v>81</v>
      </c>
    </row>
    <row r="29" spans="1:30" ht="12.75" customHeight="1">
      <c r="A29" s="650"/>
      <c r="B29" s="663" t="s">
        <v>80</v>
      </c>
      <c r="C29" s="682" t="s">
        <v>99</v>
      </c>
      <c r="D29" s="682" t="s">
        <v>99</v>
      </c>
      <c r="E29" s="674" t="s">
        <v>99</v>
      </c>
      <c r="F29" s="674"/>
      <c r="G29" s="674"/>
      <c r="H29" s="674"/>
      <c r="I29" s="674"/>
      <c r="J29" s="674">
        <v>110.7</v>
      </c>
      <c r="K29" s="674">
        <v>121.6</v>
      </c>
      <c r="L29" s="674">
        <v>132</v>
      </c>
      <c r="M29" s="674">
        <v>141.1</v>
      </c>
      <c r="N29" s="674">
        <v>143</v>
      </c>
      <c r="O29" s="707">
        <v>130.1</v>
      </c>
      <c r="P29" s="674">
        <v>132.3</v>
      </c>
      <c r="Q29" s="674">
        <v>135.8</v>
      </c>
      <c r="R29" s="674">
        <v>141.3</v>
      </c>
      <c r="S29" s="674">
        <v>146.8</v>
      </c>
      <c r="T29" s="674">
        <v>152.3</v>
      </c>
      <c r="U29" s="674">
        <v>156.6</v>
      </c>
      <c r="V29" s="674">
        <v>162.3</v>
      </c>
      <c r="W29" s="674">
        <v>172.6</v>
      </c>
      <c r="X29" s="674">
        <v>182.8</v>
      </c>
      <c r="Y29" s="674">
        <v>188.8</v>
      </c>
      <c r="Z29" s="674">
        <v>197.8</v>
      </c>
      <c r="AA29" s="674">
        <v>208.501</v>
      </c>
      <c r="AB29" s="674">
        <v>213.1</v>
      </c>
      <c r="AC29" s="684">
        <f t="shared" si="2"/>
        <v>2.2057448165716096</v>
      </c>
      <c r="AD29" s="663" t="s">
        <v>80</v>
      </c>
    </row>
    <row r="30" spans="1:30" s="679" customFormat="1" ht="12.75" customHeight="1">
      <c r="A30" s="671"/>
      <c r="B30" s="694" t="s">
        <v>92</v>
      </c>
      <c r="C30" s="704">
        <v>13.8</v>
      </c>
      <c r="D30" s="704">
        <v>29</v>
      </c>
      <c r="E30" s="697">
        <v>40</v>
      </c>
      <c r="F30" s="697">
        <v>41</v>
      </c>
      <c r="G30" s="697">
        <v>43</v>
      </c>
      <c r="H30" s="697">
        <v>46</v>
      </c>
      <c r="I30" s="697">
        <v>49</v>
      </c>
      <c r="J30" s="697">
        <v>52.5</v>
      </c>
      <c r="K30" s="697">
        <v>56</v>
      </c>
      <c r="L30" s="697">
        <v>60</v>
      </c>
      <c r="M30" s="697">
        <v>64</v>
      </c>
      <c r="N30" s="697">
        <v>68</v>
      </c>
      <c r="O30" s="697">
        <v>71</v>
      </c>
      <c r="P30" s="697">
        <v>73.2</v>
      </c>
      <c r="Q30" s="697">
        <v>77.7</v>
      </c>
      <c r="R30" s="697">
        <v>81.5</v>
      </c>
      <c r="S30" s="697">
        <v>83</v>
      </c>
      <c r="T30" s="697">
        <v>85</v>
      </c>
      <c r="U30" s="697">
        <v>86</v>
      </c>
      <c r="V30" s="697">
        <v>86.6</v>
      </c>
      <c r="W30" s="697">
        <v>87</v>
      </c>
      <c r="X30" s="697">
        <v>86</v>
      </c>
      <c r="Y30" s="697">
        <v>83.7</v>
      </c>
      <c r="Z30" s="697">
        <v>83.19008452892002</v>
      </c>
      <c r="AA30" s="697">
        <v>82.13077342280117</v>
      </c>
      <c r="AB30" s="697">
        <v>81.86593727133295</v>
      </c>
      <c r="AC30" s="705">
        <f t="shared" si="2"/>
        <v>-0.32245666323494504</v>
      </c>
      <c r="AD30" s="694" t="s">
        <v>92</v>
      </c>
    </row>
    <row r="31" spans="1:30" ht="12.75" customHeight="1">
      <c r="A31" s="650"/>
      <c r="B31" s="663" t="s">
        <v>102</v>
      </c>
      <c r="C31" s="708"/>
      <c r="D31" s="708"/>
      <c r="E31" s="675"/>
      <c r="F31" s="675"/>
      <c r="G31" s="675"/>
      <c r="H31" s="675"/>
      <c r="I31" s="675"/>
      <c r="J31" s="675">
        <v>40</v>
      </c>
      <c r="K31" s="675">
        <v>42.5</v>
      </c>
      <c r="L31" s="675">
        <v>45</v>
      </c>
      <c r="M31" s="675">
        <v>47</v>
      </c>
      <c r="N31" s="675">
        <v>49</v>
      </c>
      <c r="O31" s="675">
        <v>51</v>
      </c>
      <c r="P31" s="675">
        <v>52.5</v>
      </c>
      <c r="Q31" s="675">
        <v>54</v>
      </c>
      <c r="R31" s="675">
        <v>56</v>
      </c>
      <c r="S31" s="675">
        <v>58</v>
      </c>
      <c r="T31" s="675">
        <v>61</v>
      </c>
      <c r="U31" s="675">
        <v>64.1</v>
      </c>
      <c r="V31" s="675">
        <v>67.5</v>
      </c>
      <c r="W31" s="675">
        <v>70.5</v>
      </c>
      <c r="X31" s="675">
        <v>75.5</v>
      </c>
      <c r="Y31" s="675">
        <v>75.5</v>
      </c>
      <c r="Z31" s="675">
        <v>74.97833815332045</v>
      </c>
      <c r="AA31" s="675">
        <v>77.04505960700007</v>
      </c>
      <c r="AB31" s="675">
        <v>80.36341832605608</v>
      </c>
      <c r="AC31" s="688">
        <f t="shared" si="2"/>
        <v>4.3070363446827855</v>
      </c>
      <c r="AD31" s="663" t="s">
        <v>102</v>
      </c>
    </row>
    <row r="32" spans="1:30" ht="12.75" customHeight="1">
      <c r="A32" s="650"/>
      <c r="B32" s="694" t="s">
        <v>83</v>
      </c>
      <c r="C32" s="695" t="s">
        <v>99</v>
      </c>
      <c r="D32" s="695" t="s">
        <v>99</v>
      </c>
      <c r="E32" s="709">
        <v>13.32</v>
      </c>
      <c r="F32" s="709">
        <v>12.606</v>
      </c>
      <c r="G32" s="709">
        <v>13.386</v>
      </c>
      <c r="H32" s="709">
        <v>13.979</v>
      </c>
      <c r="I32" s="709">
        <v>15.178</v>
      </c>
      <c r="J32" s="709">
        <v>16.338</v>
      </c>
      <c r="K32" s="709">
        <v>17.794</v>
      </c>
      <c r="L32" s="709">
        <v>19.011</v>
      </c>
      <c r="M32" s="709">
        <v>18.98</v>
      </c>
      <c r="N32" s="709">
        <v>20.074</v>
      </c>
      <c r="O32" s="709">
        <v>20.325</v>
      </c>
      <c r="P32" s="709">
        <v>20.801</v>
      </c>
      <c r="Q32" s="709">
        <v>21.287</v>
      </c>
      <c r="R32" s="709">
        <v>21.331</v>
      </c>
      <c r="S32" s="698">
        <v>22.042</v>
      </c>
      <c r="T32" s="698">
        <v>22.509</v>
      </c>
      <c r="U32" s="698">
        <v>23.006</v>
      </c>
      <c r="V32" s="698">
        <v>24.355</v>
      </c>
      <c r="W32" s="698">
        <v>24.878</v>
      </c>
      <c r="X32" s="698">
        <v>25.775</v>
      </c>
      <c r="Y32" s="698">
        <v>25.636</v>
      </c>
      <c r="Z32" s="697">
        <v>25.487436219641157</v>
      </c>
      <c r="AA32" s="697">
        <v>25.30277592122288</v>
      </c>
      <c r="AB32" s="697">
        <v>25.168354826572546</v>
      </c>
      <c r="AC32" s="705">
        <f t="shared" si="2"/>
        <v>-0.5312503856052757</v>
      </c>
      <c r="AD32" s="694" t="s">
        <v>83</v>
      </c>
    </row>
    <row r="33" spans="1:30" ht="12.75" customHeight="1">
      <c r="A33" s="650"/>
      <c r="B33" s="663" t="s">
        <v>85</v>
      </c>
      <c r="C33" s="672"/>
      <c r="D33" s="672"/>
      <c r="E33" s="673"/>
      <c r="F33" s="674"/>
      <c r="G33" s="674"/>
      <c r="H33" s="674">
        <v>17.554</v>
      </c>
      <c r="I33" s="674">
        <v>17.293</v>
      </c>
      <c r="J33" s="674">
        <v>17.977</v>
      </c>
      <c r="K33" s="674">
        <v>17.993</v>
      </c>
      <c r="L33" s="674">
        <v>18.568</v>
      </c>
      <c r="M33" s="674">
        <v>19.302</v>
      </c>
      <c r="N33" s="674">
        <v>21.541</v>
      </c>
      <c r="O33" s="674">
        <v>23.929</v>
      </c>
      <c r="P33" s="674">
        <v>24.056</v>
      </c>
      <c r="Q33" s="674">
        <v>24.978</v>
      </c>
      <c r="R33" s="674">
        <v>25.224</v>
      </c>
      <c r="S33" s="674">
        <v>25.332</v>
      </c>
      <c r="T33" s="674">
        <v>25.824</v>
      </c>
      <c r="U33" s="674">
        <v>26.342</v>
      </c>
      <c r="V33" s="674">
        <v>25.994</v>
      </c>
      <c r="W33" s="674">
        <v>26.395</v>
      </c>
      <c r="X33" s="674">
        <v>26.42</v>
      </c>
      <c r="Y33" s="674">
        <v>26.879</v>
      </c>
      <c r="Z33" s="674">
        <v>26.887</v>
      </c>
      <c r="AA33" s="674">
        <v>26.935</v>
      </c>
      <c r="AB33" s="674">
        <v>27.155</v>
      </c>
      <c r="AC33" s="684">
        <f t="shared" si="2"/>
        <v>0.8167811397809714</v>
      </c>
      <c r="AD33" s="663" t="s">
        <v>85</v>
      </c>
    </row>
    <row r="34" spans="1:30" ht="12.75" customHeight="1">
      <c r="A34" s="650"/>
      <c r="B34" s="694" t="s">
        <v>87</v>
      </c>
      <c r="C34" s="695">
        <v>23.7</v>
      </c>
      <c r="D34" s="695">
        <v>34.8</v>
      </c>
      <c r="E34" s="698">
        <v>51.2</v>
      </c>
      <c r="F34" s="698">
        <v>50.6</v>
      </c>
      <c r="G34" s="698">
        <v>50.5</v>
      </c>
      <c r="H34" s="698">
        <v>49.7</v>
      </c>
      <c r="I34" s="698">
        <v>49.6</v>
      </c>
      <c r="J34" s="698">
        <v>50</v>
      </c>
      <c r="K34" s="698">
        <v>50.4</v>
      </c>
      <c r="L34" s="698">
        <v>51.9</v>
      </c>
      <c r="M34" s="698">
        <v>53.3</v>
      </c>
      <c r="N34" s="698">
        <v>54.9</v>
      </c>
      <c r="O34" s="698">
        <v>55.7</v>
      </c>
      <c r="P34" s="698">
        <v>57</v>
      </c>
      <c r="Q34" s="698">
        <v>58.3</v>
      </c>
      <c r="R34" s="698">
        <v>59.59</v>
      </c>
      <c r="S34" s="698">
        <v>60.94</v>
      </c>
      <c r="T34" s="698">
        <v>61.91</v>
      </c>
      <c r="U34" s="698">
        <v>62.455</v>
      </c>
      <c r="V34" s="698">
        <v>63.785</v>
      </c>
      <c r="W34" s="698">
        <v>63.4</v>
      </c>
      <c r="X34" s="698">
        <v>64.33</v>
      </c>
      <c r="Y34" s="698">
        <f>64.745</f>
        <v>64.745</v>
      </c>
      <c r="Z34" s="698">
        <v>65.49</v>
      </c>
      <c r="AA34" s="698">
        <v>65.27</v>
      </c>
      <c r="AB34" s="698">
        <v>65.115</v>
      </c>
      <c r="AC34" s="701">
        <f t="shared" si="2"/>
        <v>-0.2374751034165854</v>
      </c>
      <c r="AD34" s="694" t="s">
        <v>87</v>
      </c>
    </row>
    <row r="35" spans="1:30" ht="12.75" customHeight="1">
      <c r="A35" s="650"/>
      <c r="B35" s="663" t="s">
        <v>88</v>
      </c>
      <c r="C35" s="682">
        <v>56.1</v>
      </c>
      <c r="D35" s="706">
        <v>67.4</v>
      </c>
      <c r="E35" s="674">
        <v>85.945</v>
      </c>
      <c r="F35" s="674">
        <v>86.494</v>
      </c>
      <c r="G35" s="674">
        <v>87.552</v>
      </c>
      <c r="H35" s="674">
        <v>85.683</v>
      </c>
      <c r="I35" s="674">
        <v>86.65</v>
      </c>
      <c r="J35" s="674">
        <v>87.622</v>
      </c>
      <c r="K35" s="674">
        <v>87.983</v>
      </c>
      <c r="L35" s="674">
        <v>88.107</v>
      </c>
      <c r="M35" s="674">
        <v>88.811</v>
      </c>
      <c r="N35" s="707">
        <v>100.18352</v>
      </c>
      <c r="O35" s="674">
        <v>101.41244</v>
      </c>
      <c r="P35" s="674">
        <v>102.41913</v>
      </c>
      <c r="Q35" s="674">
        <v>105.33349</v>
      </c>
      <c r="R35" s="674">
        <v>106.33273</v>
      </c>
      <c r="S35" s="674">
        <v>107.05049</v>
      </c>
      <c r="T35" s="674">
        <v>107.4196</v>
      </c>
      <c r="U35" s="674">
        <v>107.06585</v>
      </c>
      <c r="V35" s="674">
        <v>109.46472</v>
      </c>
      <c r="W35" s="674">
        <v>108.21939</v>
      </c>
      <c r="X35" s="674">
        <v>108.34337</v>
      </c>
      <c r="Y35" s="674">
        <v>107.95002</v>
      </c>
      <c r="Z35" s="674">
        <v>109.1978</v>
      </c>
      <c r="AA35" s="674">
        <v>109.6</v>
      </c>
      <c r="AB35" s="674">
        <v>107.6</v>
      </c>
      <c r="AC35" s="684">
        <f t="shared" si="2"/>
        <v>-1.8248175182481816</v>
      </c>
      <c r="AD35" s="663" t="s">
        <v>88</v>
      </c>
    </row>
    <row r="36" spans="1:30" ht="12.75" customHeight="1">
      <c r="A36" s="650"/>
      <c r="B36" s="694" t="s">
        <v>13</v>
      </c>
      <c r="C36" s="695">
        <v>297</v>
      </c>
      <c r="D36" s="695">
        <v>388</v>
      </c>
      <c r="E36" s="698">
        <v>588.0080122315558</v>
      </c>
      <c r="F36" s="698">
        <v>582.210511129872</v>
      </c>
      <c r="G36" s="698">
        <v>583.0444742310589</v>
      </c>
      <c r="H36" s="710">
        <v>607.1</v>
      </c>
      <c r="I36" s="711">
        <v>614</v>
      </c>
      <c r="J36" s="712">
        <v>617.9</v>
      </c>
      <c r="K36" s="711">
        <v>622.2654719600544</v>
      </c>
      <c r="L36" s="711">
        <v>632.3684424546157</v>
      </c>
      <c r="M36" s="698">
        <v>635.6775225864668</v>
      </c>
      <c r="N36" s="698">
        <v>642.0866819761951</v>
      </c>
      <c r="O36" s="698">
        <v>638.5660724907208</v>
      </c>
      <c r="P36" s="698">
        <v>651.3961997016211</v>
      </c>
      <c r="Q36" s="698">
        <v>672.7194691828055</v>
      </c>
      <c r="R36" s="698">
        <v>668.5254189628808</v>
      </c>
      <c r="S36" s="698">
        <v>672.842932189544</v>
      </c>
      <c r="T36" s="698">
        <v>667.1572572228558</v>
      </c>
      <c r="U36" s="698">
        <v>672.4441756925946</v>
      </c>
      <c r="V36" s="698">
        <v>673.8601721532309</v>
      </c>
      <c r="W36" s="698">
        <v>666.0241627078987</v>
      </c>
      <c r="X36" s="698">
        <v>661.1940941751228</v>
      </c>
      <c r="Y36" s="698">
        <v>644.0234349400974</v>
      </c>
      <c r="Z36" s="698">
        <v>641.61994041272</v>
      </c>
      <c r="AA36" s="698">
        <v>641.6482582869601</v>
      </c>
      <c r="AB36" s="698">
        <v>637.671274759441</v>
      </c>
      <c r="AC36" s="701">
        <f t="shared" si="2"/>
        <v>-0.6198074219256284</v>
      </c>
      <c r="AD36" s="694" t="s">
        <v>13</v>
      </c>
    </row>
    <row r="37" spans="1:30" ht="12.75" customHeight="1">
      <c r="A37" s="650"/>
      <c r="B37" s="713" t="s">
        <v>310</v>
      </c>
      <c r="C37" s="714"/>
      <c r="D37" s="714"/>
      <c r="E37" s="715"/>
      <c r="F37" s="715"/>
      <c r="G37" s="715">
        <v>2.685</v>
      </c>
      <c r="H37" s="715">
        <v>4.293</v>
      </c>
      <c r="I37" s="715">
        <v>4.638</v>
      </c>
      <c r="J37" s="715">
        <v>4.759</v>
      </c>
      <c r="K37" s="715">
        <v>5.01</v>
      </c>
      <c r="L37" s="715">
        <v>3.531</v>
      </c>
      <c r="M37" s="715">
        <v>4.734</v>
      </c>
      <c r="N37" s="715">
        <v>4.962</v>
      </c>
      <c r="O37" s="715">
        <v>5.115</v>
      </c>
      <c r="P37" s="715">
        <v>5.173</v>
      </c>
      <c r="Q37" s="715">
        <v>5.906</v>
      </c>
      <c r="R37" s="715">
        <v>6.319</v>
      </c>
      <c r="S37" s="715">
        <v>6.34</v>
      </c>
      <c r="T37" s="715">
        <v>6.645</v>
      </c>
      <c r="U37" s="715">
        <v>6.87</v>
      </c>
      <c r="V37" s="715">
        <v>6.377</v>
      </c>
      <c r="W37" s="715">
        <v>5.647</v>
      </c>
      <c r="X37" s="715">
        <v>6.068</v>
      </c>
      <c r="Y37" s="715">
        <v>5.535</v>
      </c>
      <c r="Z37" s="715">
        <v>6.726</v>
      </c>
      <c r="AA37" s="715">
        <v>6.654</v>
      </c>
      <c r="AB37" s="715">
        <v>7.587</v>
      </c>
      <c r="AC37" s="716">
        <f t="shared" si="2"/>
        <v>14.021641118124421</v>
      </c>
      <c r="AD37" s="713" t="s">
        <v>310</v>
      </c>
    </row>
    <row r="38" spans="1:30" ht="12.75" customHeight="1">
      <c r="A38" s="650"/>
      <c r="B38" s="694" t="s">
        <v>244</v>
      </c>
      <c r="C38" s="695"/>
      <c r="D38" s="695"/>
      <c r="E38" s="698"/>
      <c r="F38" s="698"/>
      <c r="G38" s="698"/>
      <c r="H38" s="698"/>
      <c r="I38" s="698"/>
      <c r="J38" s="697"/>
      <c r="K38" s="697"/>
      <c r="L38" s="697"/>
      <c r="M38" s="697"/>
      <c r="N38" s="697"/>
      <c r="O38" s="697"/>
      <c r="P38" s="697"/>
      <c r="Q38" s="697"/>
      <c r="R38" s="697"/>
      <c r="S38" s="697"/>
      <c r="T38" s="697"/>
      <c r="U38" s="697"/>
      <c r="V38" s="697"/>
      <c r="W38" s="697"/>
      <c r="X38" s="697"/>
      <c r="Y38" s="697">
        <v>4.079443943033051</v>
      </c>
      <c r="Z38" s="697">
        <v>3.929694286390853</v>
      </c>
      <c r="AA38" s="697">
        <v>3.976974965962094</v>
      </c>
      <c r="AB38" s="698">
        <v>4.073523343797696</v>
      </c>
      <c r="AC38" s="705">
        <f t="shared" si="2"/>
        <v>2.4276838215461396</v>
      </c>
      <c r="AD38" s="694" t="s">
        <v>244</v>
      </c>
    </row>
    <row r="39" spans="1:30" s="679" customFormat="1" ht="12.75" customHeight="1">
      <c r="A39" s="671"/>
      <c r="B39" s="663" t="s">
        <v>149</v>
      </c>
      <c r="C39" s="682"/>
      <c r="D39" s="682"/>
      <c r="E39" s="674"/>
      <c r="F39" s="674"/>
      <c r="G39" s="674"/>
      <c r="H39" s="702"/>
      <c r="I39" s="702"/>
      <c r="J39" s="675">
        <v>3.7</v>
      </c>
      <c r="K39" s="675">
        <v>3.8</v>
      </c>
      <c r="L39" s="675">
        <v>3.9</v>
      </c>
      <c r="M39" s="675">
        <v>4</v>
      </c>
      <c r="N39" s="675">
        <v>4.1</v>
      </c>
      <c r="O39" s="675">
        <v>4.2</v>
      </c>
      <c r="P39" s="675">
        <v>4</v>
      </c>
      <c r="Q39" s="675">
        <v>4.1</v>
      </c>
      <c r="R39" s="675">
        <v>4.25</v>
      </c>
      <c r="S39" s="675">
        <v>4.4</v>
      </c>
      <c r="T39" s="675">
        <v>4.5</v>
      </c>
      <c r="U39" s="675">
        <v>4.6</v>
      </c>
      <c r="V39" s="675">
        <v>4.7</v>
      </c>
      <c r="W39" s="675">
        <v>5</v>
      </c>
      <c r="X39" s="675">
        <v>5.2</v>
      </c>
      <c r="Y39" s="675">
        <v>5.5</v>
      </c>
      <c r="Z39" s="675">
        <v>5.493278924463532</v>
      </c>
      <c r="AA39" s="675">
        <v>5.26182347282931</v>
      </c>
      <c r="AB39" s="675">
        <v>6.027636772966674</v>
      </c>
      <c r="AC39" s="688">
        <f t="shared" si="2"/>
        <v>14.554142762329931</v>
      </c>
      <c r="AD39" s="663" t="s">
        <v>149</v>
      </c>
    </row>
    <row r="40" spans="1:30" s="679" customFormat="1" ht="12.75" customHeight="1">
      <c r="A40" s="671"/>
      <c r="B40" s="694" t="s">
        <v>245</v>
      </c>
      <c r="C40" s="695"/>
      <c r="D40" s="695"/>
      <c r="E40" s="698"/>
      <c r="F40" s="698"/>
      <c r="G40" s="698"/>
      <c r="H40" s="703"/>
      <c r="I40" s="703"/>
      <c r="J40" s="697"/>
      <c r="K40" s="697"/>
      <c r="L40" s="697"/>
      <c r="M40" s="697"/>
      <c r="N40" s="697"/>
      <c r="O40" s="697"/>
      <c r="P40" s="697"/>
      <c r="Q40" s="697"/>
      <c r="R40" s="697"/>
      <c r="S40" s="697"/>
      <c r="T40" s="697"/>
      <c r="U40" s="697"/>
      <c r="V40" s="697"/>
      <c r="W40" s="697"/>
      <c r="X40" s="697"/>
      <c r="Y40" s="697">
        <v>30.589796610169493</v>
      </c>
      <c r="Z40" s="697">
        <v>26.07948717948718</v>
      </c>
      <c r="AA40" s="697">
        <v>26.5184804926127</v>
      </c>
      <c r="AB40" s="697">
        <v>27.10630859758152</v>
      </c>
      <c r="AC40" s="705">
        <f t="shared" si="2"/>
        <v>2.2166734068061373</v>
      </c>
      <c r="AD40" s="694" t="s">
        <v>245</v>
      </c>
    </row>
    <row r="41" spans="1:30" ht="12" customHeight="1">
      <c r="A41" s="650"/>
      <c r="B41" s="717" t="s">
        <v>150</v>
      </c>
      <c r="C41" s="718" t="s">
        <v>99</v>
      </c>
      <c r="D41" s="718" t="s">
        <v>99</v>
      </c>
      <c r="E41" s="719">
        <v>34.325</v>
      </c>
      <c r="F41" s="719">
        <v>33.58</v>
      </c>
      <c r="G41" s="719">
        <v>36.889</v>
      </c>
      <c r="H41" s="719">
        <v>41.848</v>
      </c>
      <c r="I41" s="719">
        <v>45.736</v>
      </c>
      <c r="J41" s="719">
        <v>52.652</v>
      </c>
      <c r="K41" s="719">
        <v>57.486</v>
      </c>
      <c r="L41" s="720">
        <v>62.5</v>
      </c>
      <c r="M41" s="720">
        <v>67.5</v>
      </c>
      <c r="N41" s="720">
        <v>72.5</v>
      </c>
      <c r="O41" s="720">
        <v>79</v>
      </c>
      <c r="P41" s="720">
        <v>81</v>
      </c>
      <c r="Q41" s="720">
        <v>82</v>
      </c>
      <c r="R41" s="720">
        <v>84</v>
      </c>
      <c r="S41" s="720">
        <v>95</v>
      </c>
      <c r="T41" s="720">
        <v>100</v>
      </c>
      <c r="U41" s="720">
        <v>108</v>
      </c>
      <c r="V41" s="720">
        <v>114</v>
      </c>
      <c r="W41" s="720">
        <v>120</v>
      </c>
      <c r="X41" s="721">
        <v>124.038</v>
      </c>
      <c r="Y41" s="719">
        <v>137.857</v>
      </c>
      <c r="Z41" s="719">
        <v>146.931</v>
      </c>
      <c r="AA41" s="719">
        <v>162.315</v>
      </c>
      <c r="AB41" s="719">
        <v>173.332</v>
      </c>
      <c r="AC41" s="722">
        <f t="shared" si="2"/>
        <v>6.7874195237655215</v>
      </c>
      <c r="AD41" s="717" t="s">
        <v>150</v>
      </c>
    </row>
    <row r="42" spans="1:30" ht="12.75" customHeight="1">
      <c r="A42" s="650"/>
      <c r="B42" s="694" t="s">
        <v>151</v>
      </c>
      <c r="C42" s="723" t="s">
        <v>99</v>
      </c>
      <c r="D42" s="723" t="s">
        <v>99</v>
      </c>
      <c r="E42" s="724" t="s">
        <v>99</v>
      </c>
      <c r="F42" s="724"/>
      <c r="G42" s="724"/>
      <c r="H42" s="724"/>
      <c r="I42" s="724"/>
      <c r="J42" s="724">
        <v>3.026</v>
      </c>
      <c r="K42" s="724">
        <v>3.168</v>
      </c>
      <c r="L42" s="724">
        <v>3.36</v>
      </c>
      <c r="M42" s="724">
        <v>3.561</v>
      </c>
      <c r="N42" s="724">
        <v>3.712</v>
      </c>
      <c r="O42" s="724">
        <v>3.765</v>
      </c>
      <c r="P42" s="724">
        <v>3.95</v>
      </c>
      <c r="Q42" s="724">
        <v>4.06</v>
      </c>
      <c r="R42" s="724">
        <v>4.174</v>
      </c>
      <c r="S42" s="724">
        <v>4.301</v>
      </c>
      <c r="T42" s="724">
        <v>4.558</v>
      </c>
      <c r="U42" s="698">
        <v>4.833</v>
      </c>
      <c r="V42" s="698">
        <v>5.077</v>
      </c>
      <c r="W42" s="698">
        <v>4.948</v>
      </c>
      <c r="X42" s="724">
        <v>5.002</v>
      </c>
      <c r="Y42" s="724">
        <v>4.958</v>
      </c>
      <c r="Z42" s="724">
        <v>4.776</v>
      </c>
      <c r="AA42" s="724">
        <v>4.832</v>
      </c>
      <c r="AB42" s="724">
        <v>4.971</v>
      </c>
      <c r="AC42" s="725">
        <f t="shared" si="2"/>
        <v>2.87665562913908</v>
      </c>
      <c r="AD42" s="694" t="s">
        <v>151</v>
      </c>
    </row>
    <row r="43" spans="1:30" ht="12.75" customHeight="1">
      <c r="A43" s="650"/>
      <c r="B43" s="663" t="s">
        <v>152</v>
      </c>
      <c r="C43" s="682">
        <f>17.781+0.429</f>
        <v>18.209999999999997</v>
      </c>
      <c r="D43" s="682">
        <f>30.436+0.625</f>
        <v>31.061</v>
      </c>
      <c r="E43" s="674">
        <f>42.696+0.523+0.278</f>
        <v>43.497</v>
      </c>
      <c r="F43" s="674">
        <f>42.252+0.513+0.247</f>
        <v>43.012</v>
      </c>
      <c r="G43" s="674">
        <f>42.39+0.545+0.237</f>
        <v>43.172000000000004</v>
      </c>
      <c r="H43" s="674">
        <f>43.128+0.553+0.262</f>
        <v>43.943</v>
      </c>
      <c r="I43" s="674">
        <f>43.605+0.561+0.367</f>
        <v>44.532999999999994</v>
      </c>
      <c r="J43" s="674">
        <f>43.659+0.566+0.505</f>
        <v>44.730000000000004</v>
      </c>
      <c r="K43" s="674">
        <f>45.217+0.57+0.642</f>
        <v>46.429</v>
      </c>
      <c r="L43" s="674">
        <f>46.078+0.6+0.98</f>
        <v>47.658</v>
      </c>
      <c r="M43" s="674">
        <f>47.294+0.613+1.359</f>
        <v>49.266</v>
      </c>
      <c r="N43" s="674">
        <f>48.233+0.601+1.497</f>
        <v>50.330999999999996</v>
      </c>
      <c r="O43" s="674">
        <f>49.055+0.583+1.535</f>
        <v>51.172999999999995</v>
      </c>
      <c r="P43" s="674">
        <f>50.226+0.609+1.522</f>
        <v>52.357</v>
      </c>
      <c r="Q43" s="674">
        <f>51.478+0.58+1.429</f>
        <v>53.487</v>
      </c>
      <c r="R43" s="674">
        <f>52.127+0.575+1.3</f>
        <v>54.002</v>
      </c>
      <c r="S43" s="674">
        <f>52.606+0.571+1.165</f>
        <v>54.342</v>
      </c>
      <c r="T43" s="674">
        <f>52.4+0.556+1.071</f>
        <v>54.026999999999994</v>
      </c>
      <c r="U43" s="674">
        <f>53.302+0.552+1.084</f>
        <v>54.938</v>
      </c>
      <c r="V43" s="674">
        <f>54.866+0.665+1.143</f>
        <v>56.674</v>
      </c>
      <c r="W43" s="674">
        <f>55.956+0.636+1.151</f>
        <v>57.74300000000001</v>
      </c>
      <c r="X43" s="674">
        <f>56.536+1.132+0.624</f>
        <v>58.292</v>
      </c>
      <c r="Y43" s="674">
        <f>57.034+1.199+0.545</f>
        <v>58.778</v>
      </c>
      <c r="Z43" s="674">
        <f>58.029+1.342+0.532</f>
        <v>59.903000000000006</v>
      </c>
      <c r="AA43" s="674">
        <f>58.701+1.487+0.516</f>
        <v>60.704</v>
      </c>
      <c r="AB43" s="674">
        <f>61.513</f>
        <v>61.513</v>
      </c>
      <c r="AC43" s="684">
        <f t="shared" si="2"/>
        <v>1.3326963626778934</v>
      </c>
      <c r="AD43" s="663" t="s">
        <v>152</v>
      </c>
    </row>
    <row r="44" spans="1:30" ht="12.75" customHeight="1">
      <c r="A44" s="650"/>
      <c r="B44" s="726" t="s">
        <v>153</v>
      </c>
      <c r="C44" s="727">
        <v>41.836</v>
      </c>
      <c r="D44" s="727">
        <v>61.817</v>
      </c>
      <c r="E44" s="711">
        <v>73.271</v>
      </c>
      <c r="F44" s="711">
        <v>74.744</v>
      </c>
      <c r="G44" s="711">
        <v>73.372</v>
      </c>
      <c r="H44" s="711">
        <v>71.417</v>
      </c>
      <c r="I44" s="710">
        <v>68.358</v>
      </c>
      <c r="J44" s="711">
        <v>69.586</v>
      </c>
      <c r="K44" s="711">
        <v>70.774</v>
      </c>
      <c r="L44" s="711">
        <v>71.406</v>
      </c>
      <c r="M44" s="711">
        <v>72.54</v>
      </c>
      <c r="N44" s="711">
        <v>73.531</v>
      </c>
      <c r="O44" s="711">
        <v>74.984</v>
      </c>
      <c r="P44" s="711">
        <v>75.494</v>
      </c>
      <c r="Q44" s="711">
        <v>76.369</v>
      </c>
      <c r="R44" s="711">
        <v>77.001</v>
      </c>
      <c r="S44" s="711">
        <v>77.74</v>
      </c>
      <c r="T44" s="711">
        <v>77.844</v>
      </c>
      <c r="U44" s="711">
        <v>78.394</v>
      </c>
      <c r="V44" s="711">
        <v>79.261</v>
      </c>
      <c r="W44" s="711">
        <v>80.689</v>
      </c>
      <c r="X44" s="711">
        <v>82.459</v>
      </c>
      <c r="Y44" s="711">
        <v>83.775</v>
      </c>
      <c r="Z44" s="711">
        <v>84.889</v>
      </c>
      <c r="AA44" s="711">
        <v>86.651</v>
      </c>
      <c r="AB44" s="711">
        <v>88.255</v>
      </c>
      <c r="AC44" s="728">
        <f t="shared" si="2"/>
        <v>1.8511038533888922</v>
      </c>
      <c r="AD44" s="726" t="s">
        <v>153</v>
      </c>
    </row>
    <row r="45" spans="1:30" ht="15" customHeight="1">
      <c r="A45" s="650"/>
      <c r="B45" s="729" t="s">
        <v>176</v>
      </c>
      <c r="C45" s="730"/>
      <c r="D45" s="730"/>
      <c r="E45" s="730"/>
      <c r="F45" s="730"/>
      <c r="G45" s="730"/>
      <c r="H45" s="730"/>
      <c r="I45" s="730"/>
      <c r="J45" s="730"/>
      <c r="K45" s="730"/>
      <c r="L45" s="730"/>
      <c r="M45" s="730"/>
      <c r="N45" s="730"/>
      <c r="O45" s="730"/>
      <c r="P45" s="730"/>
      <c r="Q45" s="730"/>
      <c r="R45" s="730"/>
      <c r="S45" s="730"/>
      <c r="T45" s="731"/>
      <c r="U45" s="731"/>
      <c r="V45" s="731"/>
      <c r="W45" s="731"/>
      <c r="X45" s="731"/>
      <c r="Y45" s="731"/>
      <c r="Z45" s="731"/>
      <c r="AA45" s="731"/>
      <c r="AB45" s="731"/>
      <c r="AD45" s="731"/>
    </row>
    <row r="46" spans="2:30" ht="12.75" customHeight="1">
      <c r="B46" s="732" t="s">
        <v>174</v>
      </c>
      <c r="C46" s="733"/>
      <c r="D46" s="734"/>
      <c r="E46" s="735"/>
      <c r="F46" s="735"/>
      <c r="G46" s="735"/>
      <c r="H46" s="736"/>
      <c r="I46" s="735"/>
      <c r="J46" s="734"/>
      <c r="K46" s="736"/>
      <c r="L46" s="735"/>
      <c r="M46" s="735"/>
      <c r="N46" s="734"/>
      <c r="O46" s="734"/>
      <c r="P46" s="735"/>
      <c r="Q46" s="735"/>
      <c r="R46" s="737"/>
      <c r="S46" s="737"/>
      <c r="T46" s="738"/>
      <c r="U46" s="738"/>
      <c r="V46" s="738"/>
      <c r="W46" s="738"/>
      <c r="X46" s="738"/>
      <c r="Y46" s="738"/>
      <c r="Z46" s="738"/>
      <c r="AA46" s="738"/>
      <c r="AB46" s="738"/>
      <c r="AC46" s="738"/>
      <c r="AD46" s="738"/>
    </row>
    <row r="47" ht="12.75" customHeight="1">
      <c r="B47" s="631" t="s">
        <v>326</v>
      </c>
    </row>
    <row r="48" spans="1:2" ht="13.5" customHeight="1">
      <c r="A48" s="628"/>
      <c r="B48" s="739" t="s">
        <v>327</v>
      </c>
    </row>
    <row r="49" spans="1:2" ht="12.75" customHeight="1">
      <c r="A49" s="628"/>
      <c r="B49" s="739" t="s">
        <v>177</v>
      </c>
    </row>
    <row r="50" spans="1:3" ht="12.75" customHeight="1">
      <c r="A50" s="628"/>
      <c r="C50" s="739" t="s">
        <v>178</v>
      </c>
    </row>
  </sheetData>
  <sheetProtection/>
  <mergeCells count="1">
    <mergeCell ref="B2:A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u016789</cp:lastModifiedBy>
  <cp:lastPrinted>2015-11-25T15:06:03Z</cp:lastPrinted>
  <dcterms:created xsi:type="dcterms:W3CDTF">2003-03-18T15:19:18Z</dcterms:created>
  <dcterms:modified xsi:type="dcterms:W3CDTF">2015-11-25T15:21:10Z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A10642783</vt:lpwstr>
  </property>
  <property fmtid="{D5CDD505-2E9C-101B-9397-08002B2CF9AE}" pid="3" name="Objective-Comment">
    <vt:lpwstr/>
  </property>
  <property fmtid="{D5CDD505-2E9C-101B-9397-08002B2CF9AE}" pid="4" name="Objective-CreationStamp">
    <vt:filetime>2015-03-18T11:49:50Z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2015-11-25T15:21:18Z</vt:filetime>
  </property>
  <property fmtid="{D5CDD505-2E9C-101B-9397-08002B2CF9AE}" pid="8" name="Objective-ModificationStamp">
    <vt:filetime>2015-11-25T15:21:21Z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2015: Research and analysis: Transport: 2015-2020:</vt:lpwstr>
  </property>
  <property fmtid="{D5CDD505-2E9C-101B-9397-08002B2CF9AE}" pid="11" name="Objective-Parent">
    <vt:lpwstr>Transport statistics: Scottish Transport Statistics: 2015: Research and analysis: Transport: 2015-2020</vt:lpwstr>
  </property>
  <property fmtid="{D5CDD505-2E9C-101B-9397-08002B2CF9AE}" pid="12" name="Objective-State">
    <vt:lpwstr>Published</vt:lpwstr>
  </property>
  <property fmtid="{D5CDD505-2E9C-101B-9397-08002B2CF9AE}" pid="13" name="Objective-Title">
    <vt:lpwstr>Chapter12 - International</vt:lpwstr>
  </property>
  <property fmtid="{D5CDD505-2E9C-101B-9397-08002B2CF9AE}" pid="14" name="Objective-Version">
    <vt:lpwstr>7.0</vt:lpwstr>
  </property>
  <property fmtid="{D5CDD505-2E9C-101B-9397-08002B2CF9AE}" pid="15" name="Objective-VersionComment">
    <vt:lpwstr/>
  </property>
  <property fmtid="{D5CDD505-2E9C-101B-9397-08002B2CF9AE}" pid="16" name="Objective-VersionNumber">
    <vt:i4>7</vt:i4>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