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580" tabRatio="553" activeTab="1"/>
  </bookViews>
  <sheets>
    <sheet name="comments" sheetId="1" r:id="rId1"/>
    <sheet name="T9.1 (a)" sheetId="2" r:id="rId2"/>
    <sheet name="T9.1 (b)-9.2" sheetId="3" r:id="rId3"/>
    <sheet name="T9.3" sheetId="4" r:id="rId4"/>
    <sheet name="T9.4" sheetId="5" r:id="rId5"/>
    <sheet name="T9.5" sheetId="6" r:id="rId6"/>
    <sheet name="T9.6" sheetId="7" r:id="rId7"/>
    <sheet name="T9.7" sheetId="8" r:id="rId8"/>
    <sheet name="T9.8" sheetId="9" r:id="rId9"/>
    <sheet name="T9.8 (continued)" sheetId="10" r:id="rId10"/>
    <sheet name="T9.9-9.11" sheetId="11" r:id="rId11"/>
    <sheet name="T9.12" sheetId="12" r:id="rId12"/>
    <sheet name="T9.13" sheetId="13" r:id="rId13"/>
    <sheet name="T9.14" sheetId="14" r:id="rId14"/>
    <sheet name="T9.15" sheetId="15" r:id="rId15"/>
    <sheet name="T9.15 (cont)" sheetId="16" r:id="rId16"/>
    <sheet name="T10.11 (2)" sheetId="17" state="hidden" r:id="rId17"/>
    <sheet name="T9.16" sheetId="18" r:id="rId18"/>
    <sheet name="T9.16 (cont)" sheetId="19" r:id="rId19"/>
    <sheet name="T9.16 cont" sheetId="20" r:id="rId20"/>
    <sheet name="T9.17-18" sheetId="21" r:id="rId21"/>
    <sheet name="Fig9.3" sheetId="22" r:id="rId22"/>
    <sheet name="Passcheck" sheetId="23" state="hidden" r:id="rId23"/>
    <sheet name="Carcheck" sheetId="24" state="hidden" r:id="rId24"/>
    <sheet name="fig9.5&amp;6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0">'[5]TABLE1a'!$U$1:$U$7</definedName>
    <definedName name="\p">'[5]TABLE1a'!$P$1</definedName>
    <definedName name="\t">'[5]TABLE1a'!$U$3:$U$3</definedName>
    <definedName name="_1.2__Average_distance_travelled_by_mode_of_travel__1975_76__1985_86_and_1993_95">#REF!</definedName>
    <definedName name="_11_1">#REF!</definedName>
    <definedName name="_11ALL">#REF!</definedName>
    <definedName name="_11N1">#REF!</definedName>
    <definedName name="_11N2">#REF!</definedName>
    <definedName name="_11N3">#REF!</definedName>
    <definedName name="_11P1">#REF!</definedName>
    <definedName name="_11P2">#REF!</definedName>
    <definedName name="_11P3">#REF!</definedName>
    <definedName name="_13_1">#REF!</definedName>
    <definedName name="_13_2">#REF!</definedName>
    <definedName name="_13_3">#REF!</definedName>
    <definedName name="_13ALL">#REF!</definedName>
    <definedName name="_13N1">#REF!</definedName>
    <definedName name="_13N2">#REF!</definedName>
    <definedName name="_13P1">#REF!</definedName>
    <definedName name="_13P2">#REF!</definedName>
    <definedName name="_21_1">#REF!</definedName>
    <definedName name="_21_2">#REF!</definedName>
    <definedName name="_21_3">#REF!</definedName>
    <definedName name="_21_4">#REF!</definedName>
    <definedName name="_210_1">#REF!</definedName>
    <definedName name="_210_2">#REF!</definedName>
    <definedName name="_210_3">#REF!</definedName>
    <definedName name="_210_4">#REF!</definedName>
    <definedName name="_210_5">#REF!</definedName>
    <definedName name="_210_6">#REF!</definedName>
    <definedName name="_210_7">#REF!</definedName>
    <definedName name="_210_8">#REF!</definedName>
    <definedName name="_210ALL">#REF!</definedName>
    <definedName name="_210N1">#REF!</definedName>
    <definedName name="_210P1">#REF!</definedName>
    <definedName name="_212_1">#N/A</definedName>
    <definedName name="_212_2">#N/A</definedName>
    <definedName name="_212ALL">#REF!</definedName>
    <definedName name="_212N1">#REF!</definedName>
    <definedName name="_212P1">#REF!</definedName>
    <definedName name="_21ALL">#REF!</definedName>
    <definedName name="_21N1">#REF!</definedName>
    <definedName name="_21P1">#REF!</definedName>
    <definedName name="_22_1">#REF!</definedName>
    <definedName name="_22_2">#REF!</definedName>
    <definedName name="_22_3">#REF!</definedName>
    <definedName name="_22_4">#REF!</definedName>
    <definedName name="_22ALL">#REF!</definedName>
    <definedName name="_22EXNOTE">#REF!</definedName>
    <definedName name="_22N1">#REF!</definedName>
    <definedName name="_22N2">#REF!</definedName>
    <definedName name="_22P1">#REF!</definedName>
    <definedName name="_22P2">#REF!</definedName>
    <definedName name="_23EXNOTE">#REF!</definedName>
    <definedName name="_23N1">#REF!</definedName>
    <definedName name="_23N2">#REF!</definedName>
    <definedName name="_23P1">#REF!</definedName>
    <definedName name="_23P2">#REF!</definedName>
    <definedName name="_24_1">#REF!</definedName>
    <definedName name="_24_2">#REF!</definedName>
    <definedName name="_24_3">#REF!</definedName>
    <definedName name="_24_4">#REF!</definedName>
    <definedName name="_24ALL">#REF!</definedName>
    <definedName name="_24N1">#REF!</definedName>
    <definedName name="_24P1">#REF!</definedName>
    <definedName name="_25N1">#REF!</definedName>
    <definedName name="_25P1">#REF!</definedName>
    <definedName name="_27_1">#REF!</definedName>
    <definedName name="_27_2">#REF!</definedName>
    <definedName name="_27ALL">#REF!</definedName>
    <definedName name="_27N1">#REF!</definedName>
    <definedName name="_27N2">#REF!</definedName>
    <definedName name="_27P1">#REF!</definedName>
    <definedName name="_27P2">#REF!</definedName>
    <definedName name="_31_1">#REF!</definedName>
    <definedName name="_31_2">#REF!</definedName>
    <definedName name="_31_3">#REF!</definedName>
    <definedName name="_31_4">#REF!</definedName>
    <definedName name="_31ALL">#REF!</definedName>
    <definedName name="_31N1">#REF!</definedName>
    <definedName name="_31N2">#REF!</definedName>
    <definedName name="_31P1">#REF!</definedName>
    <definedName name="_31P2">#REF!</definedName>
    <definedName name="_32N1">#REF!</definedName>
    <definedName name="_32N2">#REF!</definedName>
    <definedName name="_32P1">#REF!</definedName>
    <definedName name="_32P2">#REF!</definedName>
    <definedName name="_33_1">#REF!</definedName>
    <definedName name="_33ALL">#REF!</definedName>
    <definedName name="_33N1">#REF!</definedName>
    <definedName name="_33P1">#REF!</definedName>
    <definedName name="_34_1">#REF!</definedName>
    <definedName name="_34_2">#REF!</definedName>
    <definedName name="_34_3">#REF!</definedName>
    <definedName name="_34ALL">#REF!</definedName>
    <definedName name="_34EXNOTE">#REF!</definedName>
    <definedName name="_34N1">#REF!</definedName>
    <definedName name="_34N2">#REF!</definedName>
    <definedName name="_34P1">#REF!</definedName>
    <definedName name="_34P2">#REF!</definedName>
    <definedName name="_35EXNOTE">#REF!</definedName>
    <definedName name="_35N1">#REF!</definedName>
    <definedName name="_35N2">#REF!</definedName>
    <definedName name="_35P1">#REF!</definedName>
    <definedName name="_35P2">#REF!</definedName>
    <definedName name="_41_1">#REF!</definedName>
    <definedName name="_41_2">#REF!</definedName>
    <definedName name="_41ALL">#REF!</definedName>
    <definedName name="_41N1">#REF!</definedName>
    <definedName name="_41P1">#REF!</definedName>
    <definedName name="_51_1">#REF!</definedName>
    <definedName name="_51_2">#REF!</definedName>
    <definedName name="_51ALL">#REF!</definedName>
    <definedName name="_51N1">#REF!</definedName>
    <definedName name="_51P1">#REF!</definedName>
    <definedName name="_51X_1">#REF!</definedName>
    <definedName name="_51X_2">#REF!</definedName>
    <definedName name="_52_1">#REF!</definedName>
    <definedName name="_52_2">#REF!</definedName>
    <definedName name="_52_3">#REF!</definedName>
    <definedName name="_52_4">#REF!</definedName>
    <definedName name="_52_5">#REF!</definedName>
    <definedName name="_52_6">#REF!</definedName>
    <definedName name="_52_7">#REF!</definedName>
    <definedName name="_52_8">#REF!</definedName>
    <definedName name="_52ALL">#REF!</definedName>
    <definedName name="_52N1">#REF!</definedName>
    <definedName name="_52N2">#REF!</definedName>
    <definedName name="_52N3">#REF!</definedName>
    <definedName name="_52N4">#REF!</definedName>
    <definedName name="_52N5">#REF!</definedName>
    <definedName name="_52N6">#REF!</definedName>
    <definedName name="_52P1">#REF!</definedName>
    <definedName name="_52P2">#REF!</definedName>
    <definedName name="_52P3">#REF!</definedName>
    <definedName name="_52P4">#REF!</definedName>
    <definedName name="_52P5">#REF!</definedName>
    <definedName name="_52P6">#REF!</definedName>
    <definedName name="_52X_1">#REF!</definedName>
    <definedName name="_52X_2">#REF!</definedName>
    <definedName name="_52X_3">#REF!</definedName>
    <definedName name="_52X_4">#REF!</definedName>
    <definedName name="_52X_5">#REF!</definedName>
    <definedName name="_52X_6">#REF!</definedName>
    <definedName name="_52X_7">#REF!</definedName>
    <definedName name="_52X_8">#REF!</definedName>
    <definedName name="_66ALL">#N/A</definedName>
    <definedName name="_66N1">#N/A</definedName>
    <definedName name="_66P1">#N/A</definedName>
    <definedName name="_67ALL">#REF!</definedName>
    <definedName name="_67N1">#REF!</definedName>
    <definedName name="_67P1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activeCell">#REF!</definedName>
    <definedName name="ADJ">#REF!</definedName>
    <definedName name="ALL">#N/A</definedName>
    <definedName name="ANNBELGIUM">'[5]TABLE5'!$D$5:$D$12</definedName>
    <definedName name="ANNDVR">'[5]TABLE4AL'!$D$6:$D$12</definedName>
    <definedName name="ANNENG">'[5]TABLE4AL'!$F$6:$F$12</definedName>
    <definedName name="ANNFORIEGN">'[5]TABLE1a'!$P$37:$P$37</definedName>
    <definedName name="ANNFRANCE">'[5]TABLE5'!$B$5:$B$12</definedName>
    <definedName name="ANNL">'[5]TABLE5'!$F$5:$F$12</definedName>
    <definedName name="ANNOTHER">'[5]TABLE5'!$J$5:$J$12</definedName>
    <definedName name="ANNSE">'[5]TABLE4AL'!$B$6:$B$12</definedName>
    <definedName name="ANNUAL">#REF!</definedName>
    <definedName name="ANNUK">'[5]TABLE1a'!$E$8:$E$14</definedName>
    <definedName name="ANNUT">'[5]TABLE1a'!$M$8:$M$14</definedName>
    <definedName name="area1" localSheetId="14">#REF!</definedName>
    <definedName name="area1">#REF!</definedName>
    <definedName name="area2" localSheetId="14">#REF!</definedName>
    <definedName name="area2">#REF!</definedName>
    <definedName name="BARQTR">#REF!</definedName>
    <definedName name="BELGIUM">#REF!</definedName>
    <definedName name="Birmingham">#REF!</definedName>
    <definedName name="BULL">#N/A</definedName>
    <definedName name="CAMARA">'[5]TABLE1a'!$P$4</definedName>
    <definedName name="CategoryTitle">#REF!</definedName>
    <definedName name="CHECKBLK">#REF!</definedName>
    <definedName name="CHECKCOL">#REF!</definedName>
    <definedName name="CHECKMAX">#REF!</definedName>
    <definedName name="CHECKROW">#REF!</definedName>
    <definedName name="CLONE">'[5]TABLE1a'!$P$6</definedName>
    <definedName name="COLCHK1">#REF!</definedName>
    <definedName name="COLCHK2">#REF!</definedName>
    <definedName name="DASH4">#REF!</definedName>
    <definedName name="DASH5">#REF!</definedName>
    <definedName name="DASH6">#REF!</definedName>
    <definedName name="DASH7">#REF!</definedName>
    <definedName name="DASH8">#REF!</definedName>
    <definedName name="dgdsfyh">#REF!</definedName>
    <definedName name="dialog">[4]!Dialog</definedName>
    <definedName name="DK">#REF!</definedName>
    <definedName name="DNK_D">#REF!</definedName>
    <definedName name="DOVER">#N/A</definedName>
    <definedName name="DROPHEAD">#REF!</definedName>
    <definedName name="DROPPED">#REF!</definedName>
    <definedName name="e">#REF!</definedName>
    <definedName name="EIRE">#REF!</definedName>
    <definedName name="ENGLISH">#N/A</definedName>
    <definedName name="fbegyear">'[3]RAWDATAOLD'!#REF!</definedName>
    <definedName name="fendyear">#REF!</definedName>
    <definedName name="FL">#REF!</definedName>
    <definedName name="Footnotes">#REF!</definedName>
    <definedName name="FOREIGN">'[5]TABLE1a'!$P$38:$P$52</definedName>
    <definedName name="FRANCE">#REF!</definedName>
    <definedName name="fyear">#REF!</definedName>
    <definedName name="fyear2">#REF!</definedName>
    <definedName name="Gatwick">#REF!</definedName>
    <definedName name="GERMANY">#REF!</definedName>
    <definedName name="GraphData">#REF!,#REF!,#REF!,#REF!</definedName>
    <definedName name="GraphTitle">#REF!</definedName>
    <definedName name="HEAD">#REF!</definedName>
    <definedName name="HEAD1">#REF!</definedName>
    <definedName name="HEAD2">#REF!</definedName>
    <definedName name="HEAD3">#REF!</definedName>
    <definedName name="ITALY">#REF!</definedName>
    <definedName name="LASTCOL">#REF!</definedName>
    <definedName name="LASTCOL1">#REF!</definedName>
    <definedName name="LASTCOL2">#REF!</definedName>
    <definedName name="LASTCOL3">#REF!</definedName>
    <definedName name="LASTYEAR1">#REF!</definedName>
    <definedName name="LASTYEAR2">#REF!</definedName>
    <definedName name="LASTYEAR3">#REF!</definedName>
    <definedName name="LASTYEAR4">#REF!</definedName>
    <definedName name="LASTYEAR5">#REF!</definedName>
    <definedName name="LASTYEAR6">#REF!</definedName>
    <definedName name="Leeds_Bradford">#REF!</definedName>
    <definedName name="Manchester">#REF!</definedName>
    <definedName name="NEWBLOCK">#REF!</definedName>
    <definedName name="NEWBLOCK1">#REF!</definedName>
    <definedName name="NEWBLOCK2">#REF!</definedName>
    <definedName name="NEWBLOCK3">#REF!</definedName>
    <definedName name="NEWBLOCK4">#REF!</definedName>
    <definedName name="NEWBLOCK5">#REF!</definedName>
    <definedName name="NEWBLOCK6">#REF!</definedName>
    <definedName name="NEWBLOCK7">#REF!</definedName>
    <definedName name="NEWBLOCK8">#REF!</definedName>
    <definedName name="NEWBLOCK9">#REF!</definedName>
    <definedName name="NLS">#REF!</definedName>
    <definedName name="NONEC">#REF!</definedName>
    <definedName name="NORTHSEA">#N/A</definedName>
    <definedName name="NOTE">#REF!</definedName>
    <definedName name="OLDBLOCK">#REF!</definedName>
    <definedName name="OLDBLOCK1">#REF!</definedName>
    <definedName name="OLDBLOCK2">#REF!</definedName>
    <definedName name="OLDBLOCK3">#REF!</definedName>
    <definedName name="OLDBLOCK4">#REF!</definedName>
    <definedName name="OLDBLOCK5">#REF!</definedName>
    <definedName name="OLDBLOCK6">#REF!</definedName>
    <definedName name="OLDBLOCK7">#REF!</definedName>
    <definedName name="OLDBLOCK8">#REF!</definedName>
    <definedName name="OLDBLOCK9">#REF!</definedName>
    <definedName name="OldData">#REF!</definedName>
    <definedName name="OTHER">#N/A</definedName>
    <definedName name="OTHEREC">#REF!</definedName>
    <definedName name="PIE">#REF!</definedName>
    <definedName name="_xlnm.Print_Area" localSheetId="21">'Fig9.3'!$A$1:$R$93</definedName>
    <definedName name="_xlnm.Print_Area" localSheetId="24">'fig9.5&amp;6'!$A$21:$J$100</definedName>
    <definedName name="_xlnm.Print_Area" localSheetId="16">'T10.11 (2)'!$A$1:$N$56</definedName>
    <definedName name="_xlnm.Print_Area" localSheetId="13">'T9.14'!$A$1:$U$84</definedName>
    <definedName name="_xlnm.Print_Area" localSheetId="20">'T9.17-18'!$A$1:$T$56</definedName>
    <definedName name="_xlnm.Print_Area" localSheetId="3">'T9.3'!$A$1:$V$84</definedName>
    <definedName name="_xlnm.Print_Area" localSheetId="5">'T9.5'!$A$1:$S$87</definedName>
    <definedName name="_xlnm.Print_Area" localSheetId="6">'T9.6'!$A$1:$J$63</definedName>
    <definedName name="_xlnm.Print_Area" localSheetId="7">'T9.7'!$A$1:$H$45</definedName>
    <definedName name="_xlnm.Print_Area" localSheetId="8">'T9.8'!$A$1:$L$88</definedName>
    <definedName name="_xlnm.Print_Area" localSheetId="9">'T9.8 (continued)'!$A$1:$L$89</definedName>
    <definedName name="Print_Area_MI">#REF!</definedName>
    <definedName name="PUBLISH_Print_Area">#REF!</definedName>
    <definedName name="PUBLISH1998_Print_Area">#REF!</definedName>
    <definedName name="qryNonEUBreakdown">#REF!</definedName>
    <definedName name="QUARTER">#REF!</definedName>
    <definedName name="ROWCHK1">#REF!</definedName>
    <definedName name="ROWCHK2">#REF!</definedName>
    <definedName name="ROWCHK3">#REF!</definedName>
    <definedName name="ROWCHK4">#REF!</definedName>
    <definedName name="ROWCHK5">#REF!</definedName>
    <definedName name="ROWCHK6">#REF!</definedName>
    <definedName name="selxx">[4]!selxx</definedName>
    <definedName name="SPAIN">#REF!</definedName>
    <definedName name="Stanstead">#REF!</definedName>
    <definedName name="tab">'[6]TABLE1a'!$U$3:$U$3</definedName>
    <definedName name="TAB4ALL">#N/A</definedName>
    <definedName name="TAB4PV">#N/A</definedName>
    <definedName name="TAB4UT">#N/A</definedName>
    <definedName name="TableTitle">#REF!</definedName>
    <definedName name="testing">#REF!</definedName>
    <definedName name="TODROP">#REF!</definedName>
    <definedName name="TODROP1">#REF!</definedName>
    <definedName name="TODROP2">#REF!</definedName>
    <definedName name="TODROP3">#REF!</definedName>
    <definedName name="UK">#N/A</definedName>
    <definedName name="UT">#N/A</definedName>
    <definedName name="ValueTitle">#REF!</definedName>
  </definedNames>
  <calcPr fullCalcOnLoad="1"/>
</workbook>
</file>

<file path=xl/sharedStrings.xml><?xml version="1.0" encoding="utf-8"?>
<sst xmlns="http://schemas.openxmlformats.org/spreadsheetml/2006/main" count="3187" uniqueCount="753">
  <si>
    <r>
      <t>Ballycastle-Rathlin</t>
    </r>
    <r>
      <rPr>
        <vertAlign val="superscript"/>
        <sz val="12"/>
        <rFont val="Arial"/>
        <family val="2"/>
      </rPr>
      <t xml:space="preserve"> 6</t>
    </r>
  </si>
  <si>
    <r>
      <t xml:space="preserve">Lochranza-Tarbert/Claonaig </t>
    </r>
    <r>
      <rPr>
        <vertAlign val="superscript"/>
        <sz val="12"/>
        <rFont val="Arial"/>
        <family val="2"/>
      </rPr>
      <t>1</t>
    </r>
  </si>
  <si>
    <t>Other</t>
  </si>
  <si>
    <t xml:space="preserve">6.  In 2001 P &amp; O's loose freight operations were taken over by a separate company called, Northwards, which did not provide the relevant information.  </t>
  </si>
  <si>
    <t>Table 9.6 (b)    Foreign and domestic freight traffic at the major ports by type of traffic, 2011</t>
  </si>
  <si>
    <t>Table 9.7    All traffic at the major ports by mode of appearance and commodity, 2011</t>
  </si>
  <si>
    <r>
      <t xml:space="preserve">Table 9.8 </t>
    </r>
    <r>
      <rPr>
        <sz val="15"/>
        <rFont val="Arial"/>
        <family val="2"/>
      </rPr>
      <t xml:space="preserve"> Major ports traffic by cargo category and country of loading or unloading - 2011</t>
    </r>
  </si>
  <si>
    <r>
      <t xml:space="preserve">Table 9.8 (Continued)  </t>
    </r>
    <r>
      <rPr>
        <sz val="15"/>
        <rFont val="Arial"/>
        <family val="2"/>
      </rPr>
      <t xml:space="preserve">  Major ports traffic by cargo category and country of loading or unloading - 2011</t>
    </r>
  </si>
  <si>
    <t>2011</t>
  </si>
  <si>
    <t>-12</t>
  </si>
  <si>
    <r>
      <t>Figure 9.3</t>
    </r>
    <r>
      <rPr>
        <sz val="12"/>
        <rFont val="Arial"/>
        <family val="0"/>
      </rPr>
      <t xml:space="preserve">    Traffic on Caledonian MacBrayne ferry services, 2011</t>
    </r>
  </si>
  <si>
    <t xml:space="preserve">        earlier years appear in table 9.14. Figures relate to financial years which start in the specified calendar year (e.g. the "1998" figure is for 1998-99).</t>
  </si>
  <si>
    <t>2010</t>
  </si>
  <si>
    <t>-11</t>
  </si>
  <si>
    <t>All ro-ro self-propelled traffic</t>
  </si>
  <si>
    <t>Other general cargo</t>
  </si>
  <si>
    <t>All other general cargo traffic</t>
  </si>
  <si>
    <t>Gabon</t>
  </si>
  <si>
    <t>Ghana</t>
  </si>
  <si>
    <t>Hong Kong</t>
  </si>
  <si>
    <r>
      <t>1.  Covers all coastwise cargo</t>
    </r>
    <r>
      <rPr>
        <i/>
        <sz val="10"/>
        <rFont val="Arial"/>
        <family val="2"/>
      </rPr>
      <t xml:space="preserve"> lifted</t>
    </r>
    <r>
      <rPr>
        <sz val="10"/>
        <rFont val="Arial"/>
        <family val="2"/>
      </rPr>
      <t xml:space="preserve"> in Scotland, regardless of its destination.</t>
    </r>
  </si>
  <si>
    <t>2.  Covers cargoes lifted in Scotland for offshore installations and for dumping at sea.</t>
  </si>
  <si>
    <t xml:space="preserve">3.  Total of Coastwise traffic, One Port traffic and the Internal and Foreign components of Inland Waterway traffic. </t>
  </si>
  <si>
    <t>Excludes Coastwise and One Port components of Inland Waterway traffic to avoid double counting.</t>
  </si>
  <si>
    <t>5.  Coastwise traffic, One Port traffic, the Internal component of Inland Waterway traffic, and Port exports.</t>
  </si>
  <si>
    <r>
      <t xml:space="preserve">         Note: there is </t>
    </r>
    <r>
      <rPr>
        <b/>
        <i/>
        <sz val="12"/>
        <rFont val="Arial"/>
        <family val="2"/>
      </rPr>
      <t>no</t>
    </r>
    <r>
      <rPr>
        <i/>
        <sz val="12"/>
        <rFont val="Arial"/>
        <family val="2"/>
      </rPr>
      <t xml:space="preserve"> information on inland waterway traffic </t>
    </r>
    <r>
      <rPr>
        <sz val="12"/>
        <rFont val="Arial"/>
        <family val="2"/>
      </rPr>
      <t>discharged</t>
    </r>
    <r>
      <rPr>
        <i/>
        <sz val="12"/>
        <rFont val="Arial"/>
        <family val="2"/>
      </rPr>
      <t xml:space="preserve"> in Scotland </t>
    </r>
  </si>
  <si>
    <t xml:space="preserve"> traffic relates to the distance travelled on inland waterways, and Coastwise traffic relates to the distance travelled at sea.</t>
  </si>
  <si>
    <r>
      <t xml:space="preserve">1.  Covers </t>
    </r>
    <r>
      <rPr>
        <i/>
        <sz val="10"/>
        <rFont val="Arial"/>
        <family val="2"/>
      </rPr>
      <t>all</t>
    </r>
    <r>
      <rPr>
        <sz val="10"/>
        <rFont val="Arial"/>
        <family val="2"/>
      </rPr>
      <t xml:space="preserve"> coastwise cargo </t>
    </r>
    <r>
      <rPr>
        <i/>
        <sz val="10"/>
        <rFont val="Arial"/>
        <family val="2"/>
      </rPr>
      <t>discharged</t>
    </r>
    <r>
      <rPr>
        <sz val="10"/>
        <rFont val="Arial"/>
        <family val="2"/>
      </rPr>
      <t xml:space="preserve"> in Scotland, whether it was loaded in Scotland or elsewhere in the UK.</t>
    </r>
  </si>
  <si>
    <r>
      <t xml:space="preserve">2.  One port traffic covers cargoes </t>
    </r>
    <r>
      <rPr>
        <i/>
        <sz val="10"/>
        <rFont val="Arial"/>
        <family val="2"/>
      </rPr>
      <t>from</t>
    </r>
    <r>
      <rPr>
        <sz val="10"/>
        <rFont val="Arial"/>
        <family val="2"/>
      </rPr>
      <t xml:space="preserve"> offshore installations and sea dredged aggregates </t>
    </r>
    <r>
      <rPr>
        <i/>
        <sz val="10"/>
        <rFont val="Arial"/>
        <family val="2"/>
      </rPr>
      <t>unloaded</t>
    </r>
    <r>
      <rPr>
        <sz val="10"/>
        <rFont val="Arial"/>
        <family val="2"/>
      </rPr>
      <t xml:space="preserve"> in Scotland.</t>
    </r>
  </si>
  <si>
    <t>4. Major ports only.  There were seven major ports in 1996; eight in 1997 and 1998; nine in 1999;and 11 from 2000 onwards.</t>
  </si>
  <si>
    <t xml:space="preserve">   </t>
  </si>
  <si>
    <t xml:space="preserve">    </t>
  </si>
  <si>
    <r>
      <t xml:space="preserve">Table 9.1 </t>
    </r>
    <r>
      <rPr>
        <sz val="13"/>
        <rFont val="Arial"/>
        <family val="2"/>
      </rPr>
      <t xml:space="preserve"> Waterborne freight lifted, discharged and moved, by type of traffic </t>
    </r>
  </si>
  <si>
    <r>
      <t xml:space="preserve">Table 9.1  (continued) </t>
    </r>
    <r>
      <rPr>
        <sz val="13"/>
        <rFont val="Arial"/>
        <family val="2"/>
      </rPr>
      <t xml:space="preserve">  Waterborne freight lifted, discharged and moved, by type of traffic </t>
    </r>
  </si>
  <si>
    <r>
      <t>Table 9.3</t>
    </r>
    <r>
      <rPr>
        <sz val="16"/>
        <rFont val="Arial"/>
        <family val="2"/>
      </rPr>
      <t xml:space="preserve">   Foreign and domestic traffic by port: inwards and outwards</t>
    </r>
  </si>
  <si>
    <r>
      <t>Table 9.2</t>
    </r>
    <r>
      <rPr>
        <sz val="12"/>
        <rFont val="Arial"/>
        <family val="2"/>
      </rPr>
      <t xml:space="preserve">  Foreign and domestic freight traffic at (major) Scottish ports </t>
    </r>
    <r>
      <rPr>
        <vertAlign val="superscript"/>
        <sz val="12"/>
        <rFont val="Arial"/>
        <family val="2"/>
      </rPr>
      <t xml:space="preserve">1 </t>
    </r>
  </si>
  <si>
    <r>
      <t xml:space="preserve">2009 </t>
    </r>
    <r>
      <rPr>
        <b/>
        <vertAlign val="superscript"/>
        <sz val="12"/>
        <rFont val="Arial"/>
        <family val="2"/>
      </rPr>
      <t>1</t>
    </r>
  </si>
  <si>
    <t>Ardgour - Nether Lochaber</t>
  </si>
  <si>
    <t>Congo</t>
  </si>
  <si>
    <t>Water Transport</t>
  </si>
  <si>
    <r>
      <t xml:space="preserve">Cowal ferries (subsidy) </t>
    </r>
    <r>
      <rPr>
        <vertAlign val="superscript"/>
        <sz val="12"/>
        <rFont val="Arial"/>
        <family val="2"/>
      </rPr>
      <t>3</t>
    </r>
  </si>
  <si>
    <r>
      <t xml:space="preserve">Subsidy </t>
    </r>
    <r>
      <rPr>
        <vertAlign val="superscript"/>
        <sz val="12"/>
        <rFont val="Arial"/>
        <family val="0"/>
      </rPr>
      <t>3</t>
    </r>
  </si>
  <si>
    <r>
      <t xml:space="preserve">Shetland Islands Council </t>
    </r>
    <r>
      <rPr>
        <b/>
        <vertAlign val="superscript"/>
        <sz val="12"/>
        <rFont val="Arial"/>
        <family val="2"/>
      </rPr>
      <t>14</t>
    </r>
  </si>
  <si>
    <t>14. Since 2008, no fares have been charged on 2 routes, the previous figures are therefore not comparable.</t>
  </si>
  <si>
    <r>
      <t xml:space="preserve">Revenue from users </t>
    </r>
    <r>
      <rPr>
        <vertAlign val="superscript"/>
        <sz val="12"/>
        <rFont val="Arial"/>
        <family val="0"/>
      </rPr>
      <t>1</t>
    </r>
  </si>
  <si>
    <r>
      <t xml:space="preserve">Loose freight </t>
    </r>
    <r>
      <rPr>
        <vertAlign val="superscript"/>
        <sz val="12"/>
        <rFont val="Arial"/>
        <family val="0"/>
      </rPr>
      <t>2</t>
    </r>
  </si>
  <si>
    <r>
      <t xml:space="preserve">Revenue from users </t>
    </r>
    <r>
      <rPr>
        <vertAlign val="superscript"/>
        <sz val="12"/>
        <rFont val="Arial"/>
        <family val="0"/>
      </rPr>
      <t>5</t>
    </r>
  </si>
  <si>
    <r>
      <t xml:space="preserve">Subsidy </t>
    </r>
    <r>
      <rPr>
        <vertAlign val="superscript"/>
        <sz val="12"/>
        <rFont val="Arial"/>
        <family val="0"/>
      </rPr>
      <t>5</t>
    </r>
  </si>
  <si>
    <r>
      <t xml:space="preserve">Gutcher - Belmont </t>
    </r>
    <r>
      <rPr>
        <vertAlign val="superscript"/>
        <sz val="12"/>
        <rFont val="Arial"/>
        <family val="2"/>
      </rPr>
      <t>15</t>
    </r>
  </si>
  <si>
    <r>
      <t xml:space="preserve">Gutcher - Oddsta </t>
    </r>
    <r>
      <rPr>
        <vertAlign val="superscript"/>
        <sz val="12"/>
        <rFont val="Arial"/>
        <family val="2"/>
      </rPr>
      <t>15</t>
    </r>
  </si>
  <si>
    <r>
      <t xml:space="preserve">Gutcher - Belmont </t>
    </r>
    <r>
      <rPr>
        <vertAlign val="superscript"/>
        <sz val="12"/>
        <rFont val="Arial"/>
        <family val="2"/>
      </rPr>
      <t xml:space="preserve">10 </t>
    </r>
  </si>
  <si>
    <r>
      <t xml:space="preserve">Gutcher - Oddsta </t>
    </r>
    <r>
      <rPr>
        <vertAlign val="superscript"/>
        <sz val="12"/>
        <rFont val="Arial"/>
        <family val="2"/>
      </rPr>
      <t xml:space="preserve">10 </t>
    </r>
  </si>
  <si>
    <r>
      <t xml:space="preserve">Gutcher - Belmont </t>
    </r>
    <r>
      <rPr>
        <vertAlign val="superscript"/>
        <sz val="12"/>
        <rFont val="Arial"/>
        <family val="2"/>
      </rPr>
      <t>12</t>
    </r>
  </si>
  <si>
    <r>
      <t xml:space="preserve">Gutcher - Oddsta </t>
    </r>
    <r>
      <rPr>
        <vertAlign val="superscript"/>
        <sz val="12"/>
        <rFont val="Arial"/>
        <family val="2"/>
      </rPr>
      <t>12</t>
    </r>
  </si>
  <si>
    <t>12. Since 2008,there have been no fares charged on these routes.</t>
  </si>
  <si>
    <t>10. Since 2008,there have been no fares charged on these routes.</t>
  </si>
  <si>
    <t>15. Since 2008,there have been no fares charged on these routes.</t>
  </si>
  <si>
    <r>
      <t xml:space="preserve">Revenue from users </t>
    </r>
    <r>
      <rPr>
        <vertAlign val="superscript"/>
        <sz val="12"/>
        <rFont val="Arial"/>
        <family val="0"/>
      </rPr>
      <t>3,4</t>
    </r>
  </si>
  <si>
    <r>
      <t xml:space="preserve">Loose freight </t>
    </r>
    <r>
      <rPr>
        <vertAlign val="superscript"/>
        <sz val="12"/>
        <rFont val="Arial"/>
        <family val="0"/>
      </rPr>
      <t>6</t>
    </r>
  </si>
  <si>
    <r>
      <t xml:space="preserve">Subsidy </t>
    </r>
    <r>
      <rPr>
        <vertAlign val="superscript"/>
        <sz val="12"/>
        <rFont val="Arial"/>
        <family val="0"/>
      </rPr>
      <t>3,4</t>
    </r>
  </si>
  <si>
    <r>
      <t xml:space="preserve">Table 9.4 </t>
    </r>
    <r>
      <rPr>
        <sz val="13"/>
        <rFont val="Arial"/>
        <family val="2"/>
      </rPr>
      <t xml:space="preserve"> Foreign and domestic freight traffic by port: bulk fuel and all other traffic</t>
    </r>
    <r>
      <rPr>
        <vertAlign val="superscript"/>
        <sz val="13"/>
        <rFont val="Arial"/>
        <family val="2"/>
      </rPr>
      <t>1</t>
    </r>
  </si>
  <si>
    <r>
      <t xml:space="preserve">Table 9.5  </t>
    </r>
    <r>
      <rPr>
        <sz val="13"/>
        <rFont val="Arial"/>
        <family val="2"/>
      </rPr>
      <t>Foreign and domestic freight traffic by port and mode of appearance (major ports only)</t>
    </r>
  </si>
  <si>
    <r>
      <t>Table 9.9</t>
    </r>
    <r>
      <rPr>
        <sz val="14"/>
        <rFont val="Arial"/>
        <family val="2"/>
      </rPr>
      <t xml:space="preserve">  Foreign and coastwise container and roll-on traffic by type</t>
    </r>
    <r>
      <rPr>
        <vertAlign val="superscript"/>
        <sz val="14"/>
        <rFont val="Arial"/>
        <family val="2"/>
      </rPr>
      <t>1</t>
    </r>
  </si>
  <si>
    <r>
      <t>Table 9.10</t>
    </r>
    <r>
      <rPr>
        <sz val="12"/>
        <rFont val="Arial"/>
        <family val="2"/>
      </rPr>
      <t xml:space="preserve">  Inland waterway freight traffic lifted and moved</t>
    </r>
  </si>
  <si>
    <r>
      <t>Table 9.11</t>
    </r>
    <r>
      <rPr>
        <sz val="12"/>
        <rFont val="Arial"/>
        <family val="2"/>
      </rPr>
      <t xml:space="preserve">  Inland waterway freight traffic lifted and moved by mode of appearance</t>
    </r>
  </si>
  <si>
    <t>2009</t>
  </si>
  <si>
    <t>-10</t>
  </si>
  <si>
    <r>
      <t>(b)</t>
    </r>
    <r>
      <rPr>
        <b/>
        <sz val="12"/>
        <rFont val="Arial"/>
        <family val="2"/>
      </rPr>
      <t xml:space="preserve">  Waterborne freight </t>
    </r>
    <r>
      <rPr>
        <b/>
        <i/>
        <sz val="12"/>
        <rFont val="Arial"/>
        <family val="2"/>
      </rPr>
      <t>discharged</t>
    </r>
    <r>
      <rPr>
        <b/>
        <sz val="12"/>
        <rFont val="Arial"/>
        <family val="2"/>
      </rPr>
      <t xml:space="preserve"> in Scotland, and moved, by type of traffic </t>
    </r>
  </si>
  <si>
    <r>
      <t xml:space="preserve">Freight discharged  </t>
    </r>
    <r>
      <rPr>
        <i/>
        <sz val="12"/>
        <rFont val="Arial"/>
        <family val="2"/>
      </rPr>
      <t xml:space="preserve"> ( weight )</t>
    </r>
  </si>
  <si>
    <r>
      <t xml:space="preserve">  Inland waterway traffic</t>
    </r>
    <r>
      <rPr>
        <vertAlign val="superscript"/>
        <sz val="12"/>
        <rFont val="Arial"/>
        <family val="2"/>
      </rPr>
      <t>3</t>
    </r>
  </si>
  <si>
    <r>
      <t xml:space="preserve">  Port imports</t>
    </r>
    <r>
      <rPr>
        <vertAlign val="superscript"/>
        <sz val="12"/>
        <rFont val="Arial"/>
        <family val="2"/>
      </rPr>
      <t>4</t>
    </r>
  </si>
  <si>
    <r>
      <t xml:space="preserve">  Port imports</t>
    </r>
    <r>
      <rPr>
        <vertAlign val="superscript"/>
        <sz val="12"/>
        <rFont val="Arial"/>
        <family val="2"/>
      </rPr>
      <t>5</t>
    </r>
  </si>
  <si>
    <t xml:space="preserve">1.  The Foreign and Domestic figures refer to major ports only.  </t>
  </si>
  <si>
    <r>
      <t xml:space="preserve">Other West Coast </t>
    </r>
    <r>
      <rPr>
        <b/>
        <vertAlign val="superscript"/>
        <sz val="12"/>
        <rFont val="Arial"/>
        <family val="2"/>
      </rPr>
      <t>2</t>
    </r>
  </si>
  <si>
    <r>
      <t xml:space="preserve">Other East Coast </t>
    </r>
    <r>
      <rPr>
        <b/>
        <vertAlign val="superscript"/>
        <sz val="12"/>
        <rFont val="Arial"/>
        <family val="2"/>
      </rPr>
      <t xml:space="preserve">3 </t>
    </r>
  </si>
  <si>
    <r>
      <t xml:space="preserve">   Bulk fuel </t>
    </r>
    <r>
      <rPr>
        <vertAlign val="superscript"/>
        <sz val="12"/>
        <rFont val="Arial"/>
        <family val="2"/>
      </rPr>
      <t xml:space="preserve">1 </t>
    </r>
  </si>
  <si>
    <t>1.  From 1995 onwards, separate figures for bulk fuel and other are available for major ports only (see notes and sources).</t>
  </si>
  <si>
    <t>4. From 1995, the totals for bulk fuel and other relate only to the major ports, the numbers of which may change from year to year.</t>
  </si>
  <si>
    <t>to UK</t>
  </si>
  <si>
    <t>from UK</t>
  </si>
  <si>
    <r>
      <t>Africa (excluding Mediterranean countries)</t>
    </r>
    <r>
      <rPr>
        <b/>
        <vertAlign val="superscript"/>
        <sz val="12"/>
        <rFont val="Arial"/>
        <family val="2"/>
      </rPr>
      <t xml:space="preserve"> </t>
    </r>
  </si>
  <si>
    <r>
      <t>America</t>
    </r>
    <r>
      <rPr>
        <b/>
        <vertAlign val="superscript"/>
        <sz val="12"/>
        <rFont val="Arial"/>
        <family val="2"/>
      </rPr>
      <t xml:space="preserve"> </t>
    </r>
  </si>
  <si>
    <r>
      <t xml:space="preserve">   Wheeled </t>
    </r>
    <r>
      <rPr>
        <vertAlign val="superscript"/>
        <sz val="12"/>
        <rFont val="Arial"/>
        <family val="0"/>
      </rPr>
      <t>2</t>
    </r>
  </si>
  <si>
    <r>
      <t xml:space="preserve">   All waterways</t>
    </r>
    <r>
      <rPr>
        <vertAlign val="superscript"/>
        <sz val="12"/>
        <rFont val="Arial"/>
        <family val="0"/>
      </rPr>
      <t>1</t>
    </r>
  </si>
  <si>
    <r>
      <t xml:space="preserve">Freight moved </t>
    </r>
    <r>
      <rPr>
        <sz val="12"/>
        <rFont val="Arial"/>
        <family val="0"/>
      </rPr>
      <t xml:space="preserve"> ( weight x distance )</t>
    </r>
  </si>
  <si>
    <r>
      <t xml:space="preserve">Freight moved  </t>
    </r>
    <r>
      <rPr>
        <sz val="12"/>
        <rFont val="Arial"/>
        <family val="0"/>
      </rPr>
      <t>( weight x distance )</t>
    </r>
  </si>
  <si>
    <r>
      <t>Campbeltown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- Ballycastle</t>
    </r>
  </si>
  <si>
    <r>
      <t>Stranraer - Belfast</t>
    </r>
    <r>
      <rPr>
        <b/>
        <vertAlign val="superscript"/>
        <sz val="12"/>
        <rFont val="Arial"/>
        <family val="2"/>
      </rPr>
      <t xml:space="preserve"> </t>
    </r>
  </si>
  <si>
    <r>
      <t>Troon - Belfast</t>
    </r>
    <r>
      <rPr>
        <b/>
        <vertAlign val="superscript"/>
        <sz val="12"/>
        <rFont val="Arial"/>
        <family val="2"/>
      </rPr>
      <t>2</t>
    </r>
  </si>
  <si>
    <r>
      <t>Numbers of cars</t>
    </r>
    <r>
      <rPr>
        <vertAlign val="superscript"/>
        <sz val="12"/>
        <rFont val="Arial"/>
        <family val="2"/>
      </rPr>
      <t xml:space="preserve"> </t>
    </r>
  </si>
  <si>
    <r>
      <t xml:space="preserve">Rosyth - Zeebrugge </t>
    </r>
    <r>
      <rPr>
        <vertAlign val="superscript"/>
        <sz val="12"/>
        <rFont val="Arial"/>
        <family val="2"/>
      </rPr>
      <t>1</t>
    </r>
  </si>
  <si>
    <r>
      <t>Lerwick - Bergen</t>
    </r>
    <r>
      <rPr>
        <b/>
        <vertAlign val="superscript"/>
        <sz val="12"/>
        <rFont val="Arial"/>
        <family val="2"/>
      </rPr>
      <t xml:space="preserve"> 2 </t>
    </r>
  </si>
  <si>
    <r>
      <t>Lerwick - Hanstholm</t>
    </r>
    <r>
      <rPr>
        <b/>
        <vertAlign val="superscript"/>
        <sz val="12"/>
        <rFont val="Arial"/>
        <family val="2"/>
      </rPr>
      <t xml:space="preserve"> 2 </t>
    </r>
  </si>
  <si>
    <r>
      <t>Lerwick - Torshaven</t>
    </r>
    <r>
      <rPr>
        <b/>
        <vertAlign val="superscript"/>
        <sz val="12"/>
        <rFont val="Arial"/>
        <family val="2"/>
      </rPr>
      <t xml:space="preserve"> 2 </t>
    </r>
  </si>
  <si>
    <r>
      <t>Caledonian MacBrayne</t>
    </r>
    <r>
      <rPr>
        <b/>
        <vertAlign val="superscript"/>
        <sz val="12"/>
        <rFont val="Arial"/>
        <family val="0"/>
      </rPr>
      <t>1, 13</t>
    </r>
  </si>
  <si>
    <r>
      <t xml:space="preserve">P&amp;O Scottish Ferries </t>
    </r>
    <r>
      <rPr>
        <b/>
        <vertAlign val="superscript"/>
        <sz val="12"/>
        <rFont val="Arial"/>
        <family val="0"/>
      </rPr>
      <t>7</t>
    </r>
  </si>
  <si>
    <r>
      <t>-</t>
    </r>
    <r>
      <rPr>
        <vertAlign val="superscript"/>
        <sz val="12"/>
        <rFont val="Arial"/>
        <family val="0"/>
      </rPr>
      <t>6</t>
    </r>
  </si>
  <si>
    <r>
      <t>Northlink Orkney &amp; Shetland Ferries</t>
    </r>
    <r>
      <rPr>
        <b/>
        <vertAlign val="superscript"/>
        <sz val="12"/>
        <rFont val="Arial"/>
        <family val="0"/>
      </rPr>
      <t>8</t>
    </r>
  </si>
  <si>
    <r>
      <t xml:space="preserve">Commercial Vehicles </t>
    </r>
    <r>
      <rPr>
        <vertAlign val="superscript"/>
        <sz val="12"/>
        <rFont val="Arial"/>
        <family val="0"/>
      </rPr>
      <t>9,12</t>
    </r>
  </si>
  <si>
    <r>
      <t xml:space="preserve">Revenue from users </t>
    </r>
    <r>
      <rPr>
        <vertAlign val="superscript"/>
        <sz val="12"/>
        <rFont val="Arial"/>
        <family val="0"/>
      </rPr>
      <t>10,11</t>
    </r>
  </si>
  <si>
    <r>
      <t>Subsidy</t>
    </r>
    <r>
      <rPr>
        <vertAlign val="superscript"/>
        <sz val="12"/>
        <rFont val="Arial"/>
        <family val="0"/>
      </rPr>
      <t>10</t>
    </r>
  </si>
  <si>
    <r>
      <t>Orkney Ferries</t>
    </r>
    <r>
      <rPr>
        <b/>
        <vertAlign val="superscript"/>
        <sz val="12"/>
        <rFont val="Arial"/>
        <family val="0"/>
      </rPr>
      <t>1</t>
    </r>
  </si>
  <si>
    <r>
      <t xml:space="preserve">Invergordon - Orkney </t>
    </r>
    <r>
      <rPr>
        <vertAlign val="superscript"/>
        <sz val="12"/>
        <rFont val="Arial"/>
        <family val="0"/>
      </rPr>
      <t>10</t>
    </r>
  </si>
  <si>
    <r>
      <t xml:space="preserve">Western Ferries </t>
    </r>
    <r>
      <rPr>
        <b/>
        <vertAlign val="superscript"/>
        <sz val="12"/>
        <rFont val="Arial"/>
        <family val="0"/>
      </rPr>
      <t>2</t>
    </r>
  </si>
  <si>
    <r>
      <t>Appin-Lismore</t>
    </r>
    <r>
      <rPr>
        <vertAlign val="superscript"/>
        <sz val="12"/>
        <rFont val="Arial"/>
        <family val="0"/>
      </rPr>
      <t>13</t>
    </r>
  </si>
  <si>
    <r>
      <t xml:space="preserve">Cuan-Luing </t>
    </r>
    <r>
      <rPr>
        <vertAlign val="superscript"/>
        <sz val="12"/>
        <rFont val="Arial"/>
        <family val="0"/>
      </rPr>
      <t>3,13</t>
    </r>
  </si>
  <si>
    <r>
      <t>Seil-Easdale</t>
    </r>
    <r>
      <rPr>
        <vertAlign val="superscript"/>
        <sz val="12"/>
        <rFont val="Arial"/>
        <family val="0"/>
      </rPr>
      <t>13</t>
    </r>
  </si>
  <si>
    <t>7.    Figures relate to financial years which start in the specified calendar year (e.g. the 1998 figure is for 1998-99). Comparable figures prior</t>
  </si>
  <si>
    <r>
      <t xml:space="preserve">Orkney Ferries </t>
    </r>
    <r>
      <rPr>
        <b/>
        <vertAlign val="superscript"/>
        <sz val="12"/>
        <rFont val="Arial"/>
        <family val="2"/>
      </rPr>
      <t xml:space="preserve">2,3 </t>
    </r>
  </si>
  <si>
    <r>
      <t xml:space="preserve">Invergordon - Orkney </t>
    </r>
    <r>
      <rPr>
        <vertAlign val="superscript"/>
        <sz val="12"/>
        <rFont val="Arial"/>
        <family val="2"/>
      </rPr>
      <t xml:space="preserve">6 </t>
    </r>
  </si>
  <si>
    <r>
      <t xml:space="preserve">Cuan-Luing </t>
    </r>
    <r>
      <rPr>
        <vertAlign val="superscript"/>
        <sz val="12"/>
        <rFont val="Arial"/>
        <family val="2"/>
      </rPr>
      <t xml:space="preserve">4,8 </t>
    </r>
  </si>
  <si>
    <r>
      <t xml:space="preserve">Shetland Islands Council </t>
    </r>
    <r>
      <rPr>
        <b/>
        <vertAlign val="superscript"/>
        <sz val="12"/>
        <rFont val="Arial"/>
        <family val="2"/>
      </rPr>
      <t xml:space="preserve">2 </t>
    </r>
  </si>
  <si>
    <r>
      <t xml:space="preserve">P &amp; O Scottish Ferries/ Northlink Orkney &amp; Shetland Ferries </t>
    </r>
    <r>
      <rPr>
        <b/>
        <vertAlign val="superscript"/>
        <sz val="12"/>
        <rFont val="Arial"/>
        <family val="2"/>
      </rPr>
      <t xml:space="preserve">5,9 </t>
    </r>
  </si>
  <si>
    <r>
      <t xml:space="preserve">Aberdeen-Stromness </t>
    </r>
    <r>
      <rPr>
        <vertAlign val="superscript"/>
        <sz val="12"/>
        <rFont val="Arial"/>
        <family val="2"/>
      </rPr>
      <t xml:space="preserve">7 </t>
    </r>
  </si>
  <si>
    <r>
      <t xml:space="preserve">Aberdeen - Kirkwall </t>
    </r>
    <r>
      <rPr>
        <vertAlign val="superscript"/>
        <sz val="12"/>
        <rFont val="Arial"/>
        <family val="2"/>
      </rPr>
      <t xml:space="preserve">7 </t>
    </r>
  </si>
  <si>
    <r>
      <t>Orkney Ferries</t>
    </r>
    <r>
      <rPr>
        <b/>
        <vertAlign val="superscript"/>
        <sz val="12"/>
        <rFont val="Arial"/>
        <family val="2"/>
      </rPr>
      <t xml:space="preserve"> 2,3  </t>
    </r>
  </si>
  <si>
    <r>
      <t xml:space="preserve">Invergordon - Orkney  </t>
    </r>
    <r>
      <rPr>
        <vertAlign val="superscript"/>
        <sz val="12"/>
        <rFont val="Arial"/>
        <family val="2"/>
      </rPr>
      <t xml:space="preserve">6 </t>
    </r>
  </si>
  <si>
    <r>
      <t xml:space="preserve">Argyll &amp; Bute Council </t>
    </r>
    <r>
      <rPr>
        <b/>
        <vertAlign val="superscript"/>
        <sz val="12"/>
        <rFont val="Arial"/>
        <family val="2"/>
      </rPr>
      <t xml:space="preserve">9 </t>
    </r>
  </si>
  <si>
    <r>
      <t>Cuan-Luing</t>
    </r>
    <r>
      <rPr>
        <vertAlign val="superscript"/>
        <sz val="12"/>
        <rFont val="Arial"/>
        <family val="2"/>
      </rPr>
      <t xml:space="preserve"> 9 </t>
    </r>
  </si>
  <si>
    <r>
      <t xml:space="preserve">P &amp; O Scottish Ferries / Northlink Orkney &amp; Shetland Ferries  </t>
    </r>
    <r>
      <rPr>
        <b/>
        <vertAlign val="superscript"/>
        <sz val="12"/>
        <rFont val="Arial"/>
        <family val="2"/>
      </rPr>
      <t xml:space="preserve">5,8,10,11 </t>
    </r>
  </si>
  <si>
    <r>
      <t xml:space="preserve">Aberdeen - Stromness  </t>
    </r>
    <r>
      <rPr>
        <vertAlign val="superscript"/>
        <sz val="12"/>
        <rFont val="Arial"/>
        <family val="2"/>
      </rPr>
      <t xml:space="preserve">7 </t>
    </r>
  </si>
  <si>
    <r>
      <t xml:space="preserve">Aberdeen - Kirkwall  </t>
    </r>
    <r>
      <rPr>
        <vertAlign val="superscript"/>
        <sz val="12"/>
        <rFont val="Arial"/>
        <family val="2"/>
      </rPr>
      <t xml:space="preserve">7 </t>
    </r>
  </si>
  <si>
    <r>
      <t xml:space="preserve">Scheduled sailings </t>
    </r>
    <r>
      <rPr>
        <vertAlign val="superscript"/>
        <sz val="12"/>
        <rFont val="Arial"/>
        <family val="0"/>
      </rPr>
      <t>1</t>
    </r>
  </si>
  <si>
    <r>
      <t xml:space="preserve">Reliability </t>
    </r>
    <r>
      <rPr>
        <vertAlign val="superscript"/>
        <sz val="12"/>
        <rFont val="Arial"/>
        <family val="0"/>
      </rPr>
      <t>2</t>
    </r>
  </si>
  <si>
    <r>
      <t xml:space="preserve">Punctuality </t>
    </r>
    <r>
      <rPr>
        <vertAlign val="superscript"/>
        <sz val="12"/>
        <rFont val="Arial"/>
        <family val="0"/>
      </rPr>
      <t>3</t>
    </r>
  </si>
  <si>
    <r>
      <t xml:space="preserve">2007 </t>
    </r>
    <r>
      <rPr>
        <b/>
        <vertAlign val="superscript"/>
        <sz val="12"/>
        <rFont val="Arial"/>
        <family val="0"/>
      </rPr>
      <t>1</t>
    </r>
  </si>
  <si>
    <r>
      <t xml:space="preserve">NorthLink </t>
    </r>
    <r>
      <rPr>
        <b/>
        <vertAlign val="superscript"/>
        <sz val="12"/>
        <rFont val="Arial"/>
        <family val="2"/>
      </rPr>
      <t>4</t>
    </r>
  </si>
  <si>
    <t xml:space="preserve">13. Includes Gourock-Dunoon which has been operated by Cowal ferries since October 2006, </t>
  </si>
  <si>
    <t xml:space="preserve">      and Ballycastle-Rathlin which has been operated by Rathlin Ferries since April 2007 </t>
  </si>
  <si>
    <t>calendar year. The reliability figures include services cancelled due to circumstances beyond the operators control, such as adverse weather, for which the operator</t>
  </si>
  <si>
    <t>can claim relief. From October 2002, the punctuality figures relate to services arriving within 20 minutes of the published timetable on the Pentland Firth services and</t>
  </si>
  <si>
    <t>within 90 minutes on the Aberdeen, Kirkwall and Lerwick passenger services.</t>
  </si>
  <si>
    <t>Reliability / Punctuality</t>
  </si>
  <si>
    <t>thousand tonnes</t>
  </si>
  <si>
    <t>Foreign</t>
  </si>
  <si>
    <t xml:space="preserve">    Imports</t>
  </si>
  <si>
    <t xml:space="preserve">    Exports</t>
  </si>
  <si>
    <t xml:space="preserve">    Total</t>
  </si>
  <si>
    <t>Domestic</t>
  </si>
  <si>
    <t xml:space="preserve">    Inwards</t>
  </si>
  <si>
    <t xml:space="preserve">    Outwards</t>
  </si>
  <si>
    <t>Total</t>
  </si>
  <si>
    <t>Port</t>
  </si>
  <si>
    <t>Clyde</t>
  </si>
  <si>
    <t xml:space="preserve">   Bulk fuel</t>
  </si>
  <si>
    <t xml:space="preserve">   Other</t>
  </si>
  <si>
    <t xml:space="preserve">   Total</t>
  </si>
  <si>
    <t>Orkney</t>
  </si>
  <si>
    <t>Lerwick</t>
  </si>
  <si>
    <t>Sullom Voe</t>
  </si>
  <si>
    <t>Cromarty Firth</t>
  </si>
  <si>
    <t>Glensanda</t>
  </si>
  <si>
    <t>-</t>
  </si>
  <si>
    <t>Aberdeen</t>
  </si>
  <si>
    <t>Forth</t>
  </si>
  <si>
    <t>Scotland</t>
  </si>
  <si>
    <t xml:space="preserve">   Liquid bulk</t>
  </si>
  <si>
    <t xml:space="preserve">   Dry bulk</t>
  </si>
  <si>
    <t xml:space="preserve">   Container &amp; roll on traffic</t>
  </si>
  <si>
    <t xml:space="preserve">   All traffic</t>
  </si>
  <si>
    <t>West Coast</t>
  </si>
  <si>
    <t>Foreign traffic</t>
  </si>
  <si>
    <t>Domestic traffic</t>
  </si>
  <si>
    <t>All foreign</t>
  </si>
  <si>
    <t>All domestic</t>
  </si>
  <si>
    <t>All foreign &amp;</t>
  </si>
  <si>
    <t>Imports</t>
  </si>
  <si>
    <t>Exports</t>
  </si>
  <si>
    <t>traffic</t>
  </si>
  <si>
    <t>Inwards</t>
  </si>
  <si>
    <t>Outwards</t>
  </si>
  <si>
    <t>domestic traffic</t>
  </si>
  <si>
    <t xml:space="preserve">    Other</t>
  </si>
  <si>
    <t xml:space="preserve">    Unitised forest products</t>
  </si>
  <si>
    <t>thousand</t>
  </si>
  <si>
    <t xml:space="preserve">   Containers</t>
  </si>
  <si>
    <t>Weight</t>
  </si>
  <si>
    <t xml:space="preserve">      thousand tonnes</t>
  </si>
  <si>
    <t xml:space="preserve">   River Clyde</t>
  </si>
  <si>
    <t xml:space="preserve">   River Forth</t>
  </si>
  <si>
    <t>1. Includes also Caledonian Canal, lochs Fyne, Leven and Linnhe, Moray Firth, River Tay.</t>
  </si>
  <si>
    <t xml:space="preserve">    Bulk-liquid</t>
  </si>
  <si>
    <t xml:space="preserve">    Bulk-dry</t>
  </si>
  <si>
    <t xml:space="preserve">    Other semi-bulk</t>
  </si>
  <si>
    <t xml:space="preserve">    Break bulk</t>
  </si>
  <si>
    <t xml:space="preserve">    Unit loads</t>
  </si>
  <si>
    <t>thousands</t>
  </si>
  <si>
    <t>Numbers of cars</t>
  </si>
  <si>
    <t>Numbers of passengers</t>
  </si>
  <si>
    <t>..</t>
  </si>
  <si>
    <r>
      <t>Caledonian MacBrayne</t>
    </r>
    <r>
      <rPr>
        <b/>
        <vertAlign val="superscript"/>
        <sz val="12"/>
        <rFont val="Arial"/>
        <family val="2"/>
      </rPr>
      <t>1</t>
    </r>
  </si>
  <si>
    <t xml:space="preserve">      thousand</t>
  </si>
  <si>
    <t>Cars carried</t>
  </si>
  <si>
    <t>Commercial vehicles</t>
  </si>
  <si>
    <t>Passengers</t>
  </si>
  <si>
    <t xml:space="preserve">       thousand tonnes</t>
  </si>
  <si>
    <t>Loose freight</t>
  </si>
  <si>
    <t xml:space="preserve">   £ thousand</t>
  </si>
  <si>
    <r>
      <t>Revenue from users</t>
    </r>
    <r>
      <rPr>
        <vertAlign val="superscript"/>
        <sz val="10"/>
        <rFont val="Arial"/>
        <family val="2"/>
      </rPr>
      <t>1</t>
    </r>
  </si>
  <si>
    <r>
      <t>Subsidy</t>
    </r>
    <r>
      <rPr>
        <vertAlign val="superscript"/>
        <sz val="10"/>
        <rFont val="Arial"/>
        <family val="2"/>
      </rPr>
      <t>2</t>
    </r>
  </si>
  <si>
    <t>P&amp;O Orkney and Shetland Services</t>
  </si>
  <si>
    <r>
      <t>Revenue from users</t>
    </r>
    <r>
      <rPr>
        <vertAlign val="superscript"/>
        <sz val="10"/>
        <rFont val="Arial"/>
        <family val="2"/>
      </rPr>
      <t>3</t>
    </r>
  </si>
  <si>
    <r>
      <t>Subsidy</t>
    </r>
    <r>
      <rPr>
        <vertAlign val="superscript"/>
        <sz val="10"/>
        <rFont val="Arial"/>
        <family val="2"/>
      </rPr>
      <t>3</t>
    </r>
  </si>
  <si>
    <t>Orkney Ferries</t>
  </si>
  <si>
    <t>Vehicles carried</t>
  </si>
  <si>
    <r>
      <t>Revenue from users</t>
    </r>
    <r>
      <rPr>
        <vertAlign val="superscript"/>
        <sz val="10"/>
        <rFont val="Arial"/>
        <family val="2"/>
      </rPr>
      <t>2</t>
    </r>
  </si>
  <si>
    <t>Revenue from users</t>
  </si>
  <si>
    <t>Subsidy</t>
  </si>
  <si>
    <t>1.  Figures include charter and contract carryings (see table 10.12).</t>
  </si>
  <si>
    <t>2.  Financial year beginning 1 April of year.</t>
  </si>
  <si>
    <t>3.  Calendar year.</t>
  </si>
  <si>
    <t>Route</t>
  </si>
  <si>
    <t xml:space="preserve">    Gourock-Dunoon</t>
  </si>
  <si>
    <t xml:space="preserve">   Gourock-Kilcreggan</t>
  </si>
  <si>
    <t xml:space="preserve">   Wemyss Bay-Rothesay</t>
  </si>
  <si>
    <t xml:space="preserve">   Colintraive-Rhubodach</t>
  </si>
  <si>
    <t xml:space="preserve">   Ardrossan-Brodick</t>
  </si>
  <si>
    <t xml:space="preserve">   Largs-Cumbrae</t>
  </si>
  <si>
    <t xml:space="preserve">   Oban-Craignure</t>
  </si>
  <si>
    <t xml:space="preserve">   Fishnish-Lochaline</t>
  </si>
  <si>
    <t xml:space="preserve">   Fionnphort-Iona</t>
  </si>
  <si>
    <t xml:space="preserve">   Oban-Coll/Tiree</t>
  </si>
  <si>
    <t xml:space="preserve">   Oban-Castlebay-</t>
  </si>
  <si>
    <t xml:space="preserve">   Lochboisdale</t>
  </si>
  <si>
    <t xml:space="preserve">   Mallaig-Armadale</t>
  </si>
  <si>
    <t xml:space="preserve">   Uig-Tarbert-Lochmaddy</t>
  </si>
  <si>
    <t xml:space="preserve">   Ullapool-Stornoway</t>
  </si>
  <si>
    <t xml:space="preserve">   Total West Coast</t>
  </si>
  <si>
    <t>Cars</t>
  </si>
  <si>
    <t>1.   Seasonal carryings</t>
  </si>
  <si>
    <t>Commercial Vehicles and Buses</t>
  </si>
  <si>
    <t>This is the 'threshold' for the difference between the TOTALS and the sum of their parts</t>
  </si>
  <si>
    <t>formulae are written in BLUE</t>
  </si>
  <si>
    <t>Titles and headings should be in BOLD</t>
  </si>
  <si>
    <t xml:space="preserve">   Tayinloan-Gigha</t>
  </si>
  <si>
    <t xml:space="preserve">   Raasay-Sconser</t>
  </si>
  <si>
    <t>Tingwall - Rousay/Egilsay/Wyre</t>
  </si>
  <si>
    <t>Kirkwall - Shapinsay</t>
  </si>
  <si>
    <t>Kirkwall - Westray/Stronsay</t>
  </si>
  <si>
    <t>Western Ferries</t>
  </si>
  <si>
    <t>Highland Council</t>
  </si>
  <si>
    <t xml:space="preserve">    Liquid bulks</t>
  </si>
  <si>
    <t xml:space="preserve">    Coal</t>
  </si>
  <si>
    <t xml:space="preserve">    To rigs</t>
  </si>
  <si>
    <t xml:space="preserve">  Inland waterway traffic</t>
  </si>
  <si>
    <t xml:space="preserve">     Internal</t>
  </si>
  <si>
    <t xml:space="preserve">     Coastwise</t>
  </si>
  <si>
    <t xml:space="preserve">     One Port</t>
  </si>
  <si>
    <t xml:space="preserve">     Foreign</t>
  </si>
  <si>
    <t xml:space="preserve">     Total</t>
  </si>
  <si>
    <t xml:space="preserve">    Internal</t>
  </si>
  <si>
    <t xml:space="preserve">    Coastwise</t>
  </si>
  <si>
    <t xml:space="preserve">    One Port</t>
  </si>
  <si>
    <t xml:space="preserve">    Foreign</t>
  </si>
  <si>
    <t xml:space="preserve">              million tonnes</t>
  </si>
  <si>
    <t>million tonnes</t>
  </si>
  <si>
    <t xml:space="preserve">    Sea dumped</t>
  </si>
  <si>
    <t xml:space="preserve">           million tonne-kilometres</t>
  </si>
  <si>
    <t>million tonne-kilometres</t>
  </si>
  <si>
    <t>Figures in tables are formatted to 'ARIEL' - font size 12 (Headers are BOLD and font size 14; rest is font size 10)</t>
  </si>
  <si>
    <t>Cairnryan</t>
  </si>
  <si>
    <t>Cairnryan*</t>
  </si>
  <si>
    <r>
      <t>Table 10.11</t>
    </r>
    <r>
      <rPr>
        <b/>
        <sz val="14"/>
        <rFont val="Arial"/>
        <family val="2"/>
      </rPr>
      <t xml:space="preserve">  Shipping services</t>
    </r>
  </si>
  <si>
    <t>Gourock-Dunoon</t>
  </si>
  <si>
    <t>Lerwick - Bressay</t>
  </si>
  <si>
    <t>Shetland Islands Council</t>
  </si>
  <si>
    <t>Total for these Shipping Services</t>
  </si>
  <si>
    <r>
      <t>Orkney Ferries</t>
    </r>
    <r>
      <rPr>
        <b/>
        <vertAlign val="superscript"/>
        <sz val="10"/>
        <rFont val="Arial"/>
        <family val="2"/>
      </rPr>
      <t>1</t>
    </r>
  </si>
  <si>
    <t>Freight lifted in Scotland</t>
  </si>
  <si>
    <t>Ayr</t>
  </si>
  <si>
    <t>Stranraer</t>
  </si>
  <si>
    <t>Inverness</t>
  </si>
  <si>
    <t>Peterhead</t>
  </si>
  <si>
    <t>Montrose</t>
  </si>
  <si>
    <t>Dundee</t>
  </si>
  <si>
    <t>Perth</t>
  </si>
  <si>
    <t>West Coast:</t>
  </si>
  <si>
    <t>East Coast:</t>
  </si>
  <si>
    <t>Stromness-Hoy/Graemsay</t>
  </si>
  <si>
    <t>Islay - Jura</t>
  </si>
  <si>
    <t>Aberdeen-Lerwick</t>
  </si>
  <si>
    <t>Scrabster-Stromness</t>
  </si>
  <si>
    <t>1998</t>
  </si>
  <si>
    <r>
      <t>1999</t>
    </r>
    <r>
      <rPr>
        <b/>
        <vertAlign val="superscript"/>
        <sz val="12"/>
        <rFont val="Arial"/>
        <family val="2"/>
      </rPr>
      <t>4</t>
    </r>
  </si>
  <si>
    <t>4.  Orkney Ferries Revenue and Subsidy figures are  “subject to final audit”.</t>
  </si>
  <si>
    <t>Pass</t>
  </si>
  <si>
    <t>ComVeh</t>
  </si>
  <si>
    <t xml:space="preserve">   Oban-Castlebay- Lochboisdale</t>
  </si>
  <si>
    <t>Tarbert-Portavadie</t>
  </si>
  <si>
    <t xml:space="preserve">   Lochranza-Tarbert/Claonaig</t>
  </si>
  <si>
    <t xml:space="preserve">   Otternish-Leverburgh </t>
  </si>
  <si>
    <t>Houton - Lyness/Flotta</t>
  </si>
  <si>
    <t xml:space="preserve"> </t>
  </si>
  <si>
    <t xml:space="preserve">   Kennacraig-Islay</t>
  </si>
  <si>
    <t>Assistance rendered</t>
  </si>
  <si>
    <t>Assistance not rendered</t>
  </si>
  <si>
    <t>Hoax</t>
  </si>
  <si>
    <t>Number of persons assisted</t>
  </si>
  <si>
    <t>Number of persons rescued</t>
  </si>
  <si>
    <t>Lives lost</t>
  </si>
  <si>
    <t>Type of callout</t>
  </si>
  <si>
    <t>Total incidents</t>
  </si>
  <si>
    <t>Cromarty-Nigg</t>
  </si>
  <si>
    <t>7.  Figures for tonne-kilometres are not available for exports (and, in any case, would not be relevant to Scottish transport statistics).</t>
  </si>
  <si>
    <t>Peterhead*</t>
  </si>
  <si>
    <t>* Cairnryan and Peterhead did not become "major ports" (in terms of the statistical survey) until 1997 and 1999 respectively</t>
  </si>
  <si>
    <t xml:space="preserve">
</t>
  </si>
  <si>
    <t>Coastguard rescue team callouts</t>
  </si>
  <si>
    <t>Orkney Line (previously Orcargo)</t>
  </si>
  <si>
    <t>All Major Ports</t>
  </si>
  <si>
    <t>Ardgour-Nether Lochaber</t>
  </si>
  <si>
    <r>
      <t>Orkney Ferries</t>
    </r>
    <r>
      <rPr>
        <b/>
        <vertAlign val="superscript"/>
        <sz val="10"/>
        <rFont val="Arial"/>
        <family val="2"/>
      </rPr>
      <t>2,3</t>
    </r>
  </si>
  <si>
    <r>
      <t>Shetland Islands Council</t>
    </r>
    <r>
      <rPr>
        <b/>
        <vertAlign val="superscript"/>
        <sz val="10"/>
        <rFont val="Arial"/>
        <family val="2"/>
      </rPr>
      <t>2</t>
    </r>
  </si>
  <si>
    <t>(Corran Ferry)</t>
  </si>
  <si>
    <t xml:space="preserve">Ardgour-Nether Lochaber </t>
  </si>
  <si>
    <t>Laxo or Vidlin - Symbister</t>
  </si>
  <si>
    <t>Toft - Ulsta</t>
  </si>
  <si>
    <t>Gutcher - Belmont</t>
  </si>
  <si>
    <t>Gutcher - Oddsta</t>
  </si>
  <si>
    <t>3.  Financial year beginning 1 April of year.</t>
  </si>
  <si>
    <t xml:space="preserve">2. This figure only covers the routes of  Mallaig to the smaller isles since the freight is lifted by crane onto the vessels rather than transported </t>
  </si>
  <si>
    <t xml:space="preserve">    From rigs</t>
  </si>
  <si>
    <t xml:space="preserve">    Sea dredged</t>
  </si>
  <si>
    <t>5.  Figures for tonne-kilometres are not available for imports (and, in any case, would not be relevant to Scottish transport statistics).</t>
  </si>
  <si>
    <t xml:space="preserve">    Other general cargo</t>
  </si>
  <si>
    <t>2. Includes road goods vehicles, unaccompanied trailers, and shipborne port to port trailers</t>
  </si>
  <si>
    <t>1.  With effect from 1995, traffic at smaller ports is estimated</t>
  </si>
  <si>
    <t>Dundee and Stranraer also became major ports in 2000.</t>
  </si>
  <si>
    <t>Dundee*</t>
  </si>
  <si>
    <t>Stranraer*</t>
  </si>
  <si>
    <t xml:space="preserve">3.  Information about Inland Waterway traffic discharged in Scotland is not available from the statistics compiled by DfT. </t>
  </si>
  <si>
    <t>Main Freight Units</t>
  </si>
  <si>
    <t>Strathclyde Passenger Transport</t>
  </si>
  <si>
    <t xml:space="preserve">Bruce Watt Cruises </t>
  </si>
  <si>
    <t>Mallaig-Loch Nevis</t>
  </si>
  <si>
    <t xml:space="preserve">  </t>
  </si>
  <si>
    <r>
      <t xml:space="preserve">17.3 </t>
    </r>
    <r>
      <rPr>
        <vertAlign val="superscript"/>
        <sz val="12"/>
        <rFont val="Arial"/>
        <family val="2"/>
      </rPr>
      <t>4</t>
    </r>
  </si>
  <si>
    <t>Liquid Bulks</t>
  </si>
  <si>
    <t>Dry Bulks</t>
  </si>
  <si>
    <t>Container Traffic</t>
  </si>
  <si>
    <t>Belgium</t>
  </si>
  <si>
    <t>Denmark</t>
  </si>
  <si>
    <t>Finland</t>
  </si>
  <si>
    <t>France</t>
  </si>
  <si>
    <t>Germany</t>
  </si>
  <si>
    <t>Greece</t>
  </si>
  <si>
    <t>Italy</t>
  </si>
  <si>
    <t>Netherlands</t>
  </si>
  <si>
    <t>Portugal</t>
  </si>
  <si>
    <t>Sweden</t>
  </si>
  <si>
    <t>Egypt</t>
  </si>
  <si>
    <t>Estonia</t>
  </si>
  <si>
    <t>Israel</t>
  </si>
  <si>
    <t>Latvia</t>
  </si>
  <si>
    <t>Lithuania</t>
  </si>
  <si>
    <t>Norway</t>
  </si>
  <si>
    <t>Poland</t>
  </si>
  <si>
    <t>Russia</t>
  </si>
  <si>
    <t>Turkey</t>
  </si>
  <si>
    <t>Brazil</t>
  </si>
  <si>
    <t>Canada</t>
  </si>
  <si>
    <t>China</t>
  </si>
  <si>
    <t>Colombia</t>
  </si>
  <si>
    <t>Mexico</t>
  </si>
  <si>
    <t>Nigeria</t>
  </si>
  <si>
    <t>South Africa</t>
  </si>
  <si>
    <t>USA</t>
  </si>
  <si>
    <t>Venezuela</t>
  </si>
  <si>
    <t>Unspecified countries</t>
  </si>
  <si>
    <t>All foreign countries</t>
  </si>
  <si>
    <t>All domestic traffic</t>
  </si>
  <si>
    <t>All foreign and domestic traffic</t>
  </si>
  <si>
    <t>2. Other West Coast ports are: Troon; Ardrishaig; Corpach; Stornoway; Lochaline; Girvan; Kirkudbright; Port Askaig.</t>
  </si>
  <si>
    <t>3. Other East Coast ports are: Scrabster; Wick; Burghead; Buckie; MacDuff; Fraserburgh; Inverkeithing; Lossiemouth.</t>
  </si>
  <si>
    <r>
      <t>Invergordon - Orkney</t>
    </r>
    <r>
      <rPr>
        <vertAlign val="superscript"/>
        <sz val="10"/>
        <rFont val="Arial"/>
        <family val="2"/>
      </rPr>
      <t>6</t>
    </r>
  </si>
  <si>
    <t>Fionnphort-Iona</t>
  </si>
  <si>
    <t xml:space="preserve">      or unloading</t>
  </si>
  <si>
    <t xml:space="preserve">Inwards </t>
  </si>
  <si>
    <t xml:space="preserve">Country of loading </t>
  </si>
  <si>
    <t xml:space="preserve">   to UK</t>
  </si>
  <si>
    <t xml:space="preserve">    from UK</t>
  </si>
  <si>
    <t>All</t>
  </si>
  <si>
    <t xml:space="preserve"> traffic</t>
  </si>
  <si>
    <t xml:space="preserve">   from UK</t>
  </si>
  <si>
    <t>Ro-Ro Traffic</t>
  </si>
  <si>
    <t>All Traffic</t>
  </si>
  <si>
    <t>Orkneys</t>
  </si>
  <si>
    <t>All other Europe &amp; Mediterranean</t>
  </si>
  <si>
    <t>Toft-Ulsta</t>
  </si>
  <si>
    <t>Lerwick-Bressay</t>
  </si>
  <si>
    <t>Gourock-Dunoon (CalMac)</t>
  </si>
  <si>
    <t>Commercial vehicles and buses</t>
  </si>
  <si>
    <t xml:space="preserve">     by lorry onto the ferry.</t>
  </si>
  <si>
    <t>1. The Campbeltown - Ballycastle ferry service was withdrawn in 2000 before the start of the summer season.</t>
  </si>
  <si>
    <t>5.  P &amp; O Scottish Ferries stopped operating this service on 30 September 2002. and North Link took over the operating of this service on 1 October 2002.</t>
  </si>
  <si>
    <t>Rosyth-Zeebrugge</t>
  </si>
  <si>
    <t>Troon-Belfast</t>
  </si>
  <si>
    <t>Spain</t>
  </si>
  <si>
    <t>Cromarty Ferry Company</t>
  </si>
  <si>
    <r>
      <t xml:space="preserve">P &amp; O Scottish Ferries / Northlink Orkney &amp; Shetland Ferries </t>
    </r>
    <r>
      <rPr>
        <b/>
        <vertAlign val="superscript"/>
        <sz val="10"/>
        <rFont val="Arial"/>
        <family val="2"/>
      </rPr>
      <t>9</t>
    </r>
  </si>
  <si>
    <r>
      <t xml:space="preserve">Lerwick - Bressay </t>
    </r>
    <r>
      <rPr>
        <vertAlign val="superscript"/>
        <sz val="10"/>
        <rFont val="Arial"/>
        <family val="2"/>
      </rPr>
      <t>6</t>
    </r>
  </si>
  <si>
    <r>
      <t xml:space="preserve">Shetland Islands Council </t>
    </r>
    <r>
      <rPr>
        <b/>
        <vertAlign val="superscript"/>
        <sz val="10"/>
        <rFont val="Arial"/>
        <family val="2"/>
      </rPr>
      <t>1</t>
    </r>
  </si>
  <si>
    <r>
      <t xml:space="preserve">Invergordon - Orkney </t>
    </r>
    <r>
      <rPr>
        <vertAlign val="superscript"/>
        <sz val="10"/>
        <rFont val="Arial"/>
        <family val="2"/>
      </rPr>
      <t>10</t>
    </r>
  </si>
  <si>
    <r>
      <t xml:space="preserve">Western Ferries </t>
    </r>
    <r>
      <rPr>
        <b/>
        <vertAlign val="superscript"/>
        <sz val="10"/>
        <rFont val="Arial"/>
        <family val="2"/>
      </rPr>
      <t>2</t>
    </r>
  </si>
  <si>
    <r>
      <t xml:space="preserve">Camusnagaul - Fort William </t>
    </r>
    <r>
      <rPr>
        <vertAlign val="superscript"/>
        <sz val="10"/>
        <rFont val="Arial"/>
        <family val="2"/>
      </rPr>
      <t>5</t>
    </r>
  </si>
  <si>
    <r>
      <t xml:space="preserve">(Corran Ferry) </t>
    </r>
    <r>
      <rPr>
        <vertAlign val="superscript"/>
        <sz val="10"/>
        <rFont val="Arial"/>
        <family val="2"/>
      </rPr>
      <t>4</t>
    </r>
  </si>
  <si>
    <t>Lerwick - Kirkwall</t>
  </si>
  <si>
    <r>
      <t xml:space="preserve">Renfrew - Yoker </t>
    </r>
    <r>
      <rPr>
        <vertAlign val="superscript"/>
        <sz val="10"/>
        <rFont val="Arial"/>
        <family val="2"/>
      </rPr>
      <t>7</t>
    </r>
  </si>
  <si>
    <r>
      <t xml:space="preserve">Gourock - Kilcreggan </t>
    </r>
    <r>
      <rPr>
        <vertAlign val="superscript"/>
        <sz val="10"/>
        <rFont val="Arial"/>
        <family val="2"/>
      </rPr>
      <t>8</t>
    </r>
  </si>
  <si>
    <t>Aberdeen - Lerwick</t>
  </si>
  <si>
    <t>Scrabster - Stromness</t>
  </si>
  <si>
    <r>
      <t xml:space="preserve">Aberdeen - Stomness </t>
    </r>
    <r>
      <rPr>
        <vertAlign val="superscript"/>
        <sz val="10"/>
        <rFont val="Arial"/>
        <family val="2"/>
      </rPr>
      <t>(11)</t>
    </r>
  </si>
  <si>
    <r>
      <t xml:space="preserve">Aberdeen - Kirkwall </t>
    </r>
    <r>
      <rPr>
        <vertAlign val="superscript"/>
        <sz val="10"/>
        <rFont val="Arial"/>
        <family val="2"/>
      </rPr>
      <t>(11)</t>
    </r>
  </si>
  <si>
    <t>Car</t>
  </si>
  <si>
    <r>
      <t xml:space="preserve">Aberdeen - Kirkwall </t>
    </r>
    <r>
      <rPr>
        <vertAlign val="superscript"/>
        <sz val="10"/>
        <rFont val="Arial"/>
        <family val="2"/>
      </rPr>
      <t>7</t>
    </r>
  </si>
  <si>
    <r>
      <t xml:space="preserve">P &amp; O Scottish Ferries/ Northlink Orkney &amp; Shetland Ferries </t>
    </r>
    <r>
      <rPr>
        <b/>
        <vertAlign val="superscript"/>
        <sz val="10"/>
        <rFont val="Arial"/>
        <family val="2"/>
      </rPr>
      <t>5</t>
    </r>
  </si>
  <si>
    <t>1. Other West Coast ports are: Troon; Ardrishaig; Corpach; Stornoway; Lochaline</t>
  </si>
  <si>
    <t>2. Other East Coast ports are: Scrabster; Wick; Burghead; Buckie; MacDuff; Fraserburgh; Inverkeithing.</t>
  </si>
  <si>
    <r>
      <t xml:space="preserve">Aberdeen-Stromness </t>
    </r>
    <r>
      <rPr>
        <vertAlign val="superscript"/>
        <sz val="10"/>
        <rFont val="Arial"/>
        <family val="2"/>
      </rPr>
      <t>7</t>
    </r>
  </si>
  <si>
    <t>7.  The Aberdeen to Stromness route changed to Aberdeen to Kirkwall in October 2002 but the figures provided by the company for 2002</t>
  </si>
  <si>
    <t>11.  The Aberdeen to Stromness route changed to Aberdeen to Kirkwall in October 2002 but the figures provided by the company for 2002</t>
  </si>
  <si>
    <r>
      <t xml:space="preserve">29.1 </t>
    </r>
    <r>
      <rPr>
        <vertAlign val="superscript"/>
        <sz val="12"/>
        <rFont val="Arial"/>
        <family val="2"/>
      </rPr>
      <t>4</t>
    </r>
  </si>
  <si>
    <t xml:space="preserve">All traffic: </t>
  </si>
  <si>
    <t>Major ports only</t>
  </si>
  <si>
    <t>All ports</t>
  </si>
  <si>
    <t>Other General Cargo</t>
  </si>
  <si>
    <t>4.</t>
  </si>
  <si>
    <t>3.</t>
  </si>
  <si>
    <t>2.</t>
  </si>
  <si>
    <t>1.</t>
  </si>
  <si>
    <t>Pentland Firth</t>
  </si>
  <si>
    <t>Aberdeen routes</t>
  </si>
  <si>
    <t>percentages</t>
  </si>
  <si>
    <t>numbers</t>
  </si>
  <si>
    <t>Caledonian MacBrayne</t>
  </si>
  <si>
    <t>-04</t>
  </si>
  <si>
    <t>-03</t>
  </si>
  <si>
    <t>-02</t>
  </si>
  <si>
    <t>-01</t>
  </si>
  <si>
    <t>Irish Republic</t>
  </si>
  <si>
    <t>Algeria</t>
  </si>
  <si>
    <t>All America</t>
  </si>
  <si>
    <t>Morocco</t>
  </si>
  <si>
    <t xml:space="preserve">Africa (excluding Mediterranean countries) </t>
  </si>
  <si>
    <t xml:space="preserve">America </t>
  </si>
  <si>
    <r>
      <t>Campbeltown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- Ballycastle</t>
    </r>
  </si>
  <si>
    <t>Cairnryan - Larne</t>
  </si>
  <si>
    <t>Troon - Belfast</t>
  </si>
  <si>
    <t>Ardrossan - Larne</t>
  </si>
  <si>
    <t>Troon - Larne</t>
  </si>
  <si>
    <t xml:space="preserve">Stranraer - Larne </t>
  </si>
  <si>
    <r>
      <t>Stranraer - Belfast</t>
    </r>
    <r>
      <rPr>
        <b/>
        <vertAlign val="superscript"/>
        <sz val="10"/>
        <rFont val="Arial"/>
        <family val="2"/>
      </rPr>
      <t xml:space="preserve"> </t>
    </r>
  </si>
  <si>
    <t>-05</t>
  </si>
  <si>
    <t>Gairloch (Wester Ross) - Portree (Skye)</t>
  </si>
  <si>
    <t>Aquatrek</t>
  </si>
  <si>
    <t>North Berwick - Anstruther</t>
  </si>
  <si>
    <r>
      <t>West Highland Seaways</t>
    </r>
    <r>
      <rPr>
        <b/>
        <vertAlign val="superscript"/>
        <sz val="10"/>
        <rFont val="Arial"/>
        <family val="2"/>
      </rPr>
      <t xml:space="preserve"> (12)</t>
    </r>
  </si>
  <si>
    <t>4.  Revenue from users and subsidy may be subject to amendment following annual audit.</t>
  </si>
  <si>
    <t>5.  Calendar year.</t>
  </si>
  <si>
    <t>7.  P &amp; O Scottish Ferries stopped operating its services on 30 September 2002.</t>
  </si>
  <si>
    <t>9.  Only coaches and mini-buses are included under this heading for 2003.</t>
  </si>
  <si>
    <t>4.  Figures for 2000 and 2001 are estimates.</t>
  </si>
  <si>
    <t xml:space="preserve">3.  Separate figures for cars/buses and commercial vehicles are only available for some Orkney Ferries services for recent years.  Prior to that, </t>
  </si>
  <si>
    <t xml:space="preserve">2.  In addition to the routes shown in this table, there are some other routes, which have less traffic, for which the number of passengers and </t>
  </si>
  <si>
    <t>1.  Routes which do not carry cars are not shown in this table.</t>
  </si>
  <si>
    <r>
      <t>Cuan-Luing</t>
    </r>
    <r>
      <rPr>
        <vertAlign val="superscript"/>
        <sz val="10"/>
        <rFont val="Arial"/>
        <family val="2"/>
      </rPr>
      <t>4,8</t>
    </r>
  </si>
  <si>
    <t>Argyll &amp; Bute Council</t>
  </si>
  <si>
    <r>
      <t>Appin-Lismore</t>
    </r>
    <r>
      <rPr>
        <vertAlign val="superscript"/>
        <sz val="10"/>
        <rFont val="Arial"/>
        <family val="2"/>
      </rPr>
      <t>13</t>
    </r>
  </si>
  <si>
    <r>
      <t xml:space="preserve">Cuan-Luing </t>
    </r>
    <r>
      <rPr>
        <vertAlign val="superscript"/>
        <sz val="10"/>
        <rFont val="Arial"/>
        <family val="2"/>
      </rPr>
      <t>3,13</t>
    </r>
  </si>
  <si>
    <r>
      <t>Seil-Easdale</t>
    </r>
    <r>
      <rPr>
        <vertAlign val="superscript"/>
        <sz val="10"/>
        <rFont val="Arial"/>
        <family val="2"/>
      </rPr>
      <t>13</t>
    </r>
  </si>
  <si>
    <t>8.  2004 is the first full calender year of the electronic ticketing sytem and the statistics quoted for the Cuan service reflects the more</t>
  </si>
  <si>
    <t xml:space="preserve">Timetabled sailings but excluding any additional sailings operated by CalMac.  </t>
  </si>
  <si>
    <t>New performance measure for 2003-2004 covering the number of timetabled sailings actually operated taking account of any relief events agreed by the Scottish</t>
  </si>
  <si>
    <t xml:space="preserve">Executive - for example, sailings which were cancelled due to bad weather; in accordance with safety procedures; delays due to the availability or operational </t>
  </si>
  <si>
    <t>restrictions of harbour facilities, or having to wait for the arrival of other public transport connections</t>
  </si>
  <si>
    <t xml:space="preserve">Covers CalMac's punctuality performance against its published timetable taking account of any relief events. Performance measure was previously called </t>
  </si>
  <si>
    <t>Quality of Service.</t>
  </si>
  <si>
    <t xml:space="preserve">   Berneray-Leverburgh </t>
  </si>
  <si>
    <t xml:space="preserve">   Berneray-Leverburgh</t>
  </si>
  <si>
    <r>
      <t xml:space="preserve">   Gourock-Dunoon </t>
    </r>
    <r>
      <rPr>
        <vertAlign val="superscript"/>
        <sz val="10"/>
        <rFont val="Arial"/>
        <family val="2"/>
      </rPr>
      <t>8</t>
    </r>
  </si>
  <si>
    <r>
      <t xml:space="preserve">   Gourock-Kilcreggan</t>
    </r>
    <r>
      <rPr>
        <vertAlign val="superscript"/>
        <sz val="10"/>
        <rFont val="Arial"/>
        <family val="2"/>
      </rPr>
      <t>1</t>
    </r>
  </si>
  <si>
    <r>
      <t xml:space="preserve">   Tarbert-Portavadie</t>
    </r>
    <r>
      <rPr>
        <vertAlign val="superscript"/>
        <sz val="10"/>
        <rFont val="Arial"/>
        <family val="2"/>
      </rPr>
      <t>2</t>
    </r>
  </si>
  <si>
    <r>
      <t xml:space="preserve">   Lochranza-Tarbet/Claonaig</t>
    </r>
    <r>
      <rPr>
        <vertAlign val="superscript"/>
        <sz val="10"/>
        <rFont val="Arial"/>
        <family val="2"/>
      </rPr>
      <t>3</t>
    </r>
  </si>
  <si>
    <r>
      <t xml:space="preserve">   Kyle-Kyleakin</t>
    </r>
    <r>
      <rPr>
        <vertAlign val="superscript"/>
        <sz val="10"/>
        <rFont val="Arial"/>
        <family val="2"/>
      </rPr>
      <t>5</t>
    </r>
  </si>
  <si>
    <r>
      <t xml:space="preserve">   Uig-Tarbert-Lochmaddy</t>
    </r>
    <r>
      <rPr>
        <vertAlign val="superscript"/>
        <sz val="10"/>
        <rFont val="Arial"/>
        <family val="2"/>
      </rPr>
      <t>7</t>
    </r>
  </si>
  <si>
    <t>2. Delete unnecessary rows e.g. totals or other routes.</t>
  </si>
  <si>
    <t>4. Copy top ten values to sheet Fig10.5&amp;6</t>
  </si>
  <si>
    <t>1. Copy values from T10.12a/b, T10.14 and T10.15 to this sheet.</t>
  </si>
  <si>
    <t>3. Sort the data in column B in ascending order.</t>
  </si>
  <si>
    <t>2004</t>
  </si>
  <si>
    <t>Total - major ports only</t>
  </si>
  <si>
    <t>so the figures for different years are not directly comparable.</t>
  </si>
  <si>
    <t>Total - all ports</t>
  </si>
  <si>
    <t>All other Europe &amp; Med.</t>
  </si>
  <si>
    <t>All Africa (excl. Med.)</t>
  </si>
  <si>
    <t xml:space="preserve">13.  2004 is the first full calender year of the electronic ticketing sytem and the statistics quoted for the Cuan, Easdale and Appin Services reflect the more </t>
  </si>
  <si>
    <t xml:space="preserve">    WATER TRANSPORT</t>
  </si>
  <si>
    <t>10. The figures for 2003 and 2004 are on a calendar year basis.</t>
  </si>
  <si>
    <t xml:space="preserve">      more accurate counting method.</t>
  </si>
  <si>
    <t xml:space="preserve">9.   2004 is the first full calender year of the electronic ticketing sytem and the statistics quoted for the Cuan service reflects the </t>
  </si>
  <si>
    <t>8.   Only coaches and mini-buses are included under this heading for 2003.</t>
  </si>
  <si>
    <t xml:space="preserve">      for 2002 did not distinguish between the two.</t>
  </si>
  <si>
    <t xml:space="preserve">7.   The Aberdeen to Stromness route changed to Aberedeen to Kirkwall in October 2002 but the figures provided by the company </t>
  </si>
  <si>
    <t>6.   This service ceased to operate from May 2001.</t>
  </si>
  <si>
    <t xml:space="preserve">      on 1 October 2002.</t>
  </si>
  <si>
    <t xml:space="preserve">5.   P &amp; O Scottish Ferries stopped operating this service on 30 September 2002 and North Link took over the operating of this service </t>
  </si>
  <si>
    <t>4.   The operator indicated that this figure may not be directly comparable with previous years.</t>
  </si>
  <si>
    <t xml:space="preserve">      Prior to that, only the total number of vehicles carried is available.</t>
  </si>
  <si>
    <t>3.   Separate figures for cars/buses and commercial vehicles are only available for some Orkney Ferries services for recent years.</t>
  </si>
  <si>
    <t>2.   In addition to the routes shown in this table, there are some other routes, which have less traffic, for which the number of passengers</t>
  </si>
  <si>
    <t>1.   Routes which do not carry commercial vehicles or buses are not shown in this table.</t>
  </si>
  <si>
    <t>9.  Figures for 2003 onwards are on an October-to-September year e.g. 2003 figures are for Oct 02 - Sept 03.</t>
  </si>
  <si>
    <t xml:space="preserve">     accurate counting method.</t>
  </si>
  <si>
    <t xml:space="preserve">     did not distinguish between the two.</t>
  </si>
  <si>
    <t>6.  This service ceased to operate from May 2001.</t>
  </si>
  <si>
    <t xml:space="preserve">     only the total number of vehicles carried is available.</t>
  </si>
  <si>
    <t>14.  Figures for 2003 onwards are on an October-to-September year e.g. 2003 figures are for Oct 02 - Sept 03.</t>
  </si>
  <si>
    <t xml:space="preserve">       accurate counting method.</t>
  </si>
  <si>
    <t xml:space="preserve">       did not distinguish between the two.</t>
  </si>
  <si>
    <t>10.  This service ceased to operate from May 2001.</t>
  </si>
  <si>
    <t>9.    P &amp; O Scottish Ferries stopped operating these services on 30 September 2002 and Northlink took over the operating of these services on 1 October 2002.</t>
  </si>
  <si>
    <t xml:space="preserve">        to 1998-99 are not available, because before then the numbers of passengers were counted exclusive of zone card ticket holders (and therefore  </t>
  </si>
  <si>
    <t>6.    Passenger numbers in 1999 are high because of special events such as the Tall ships race.</t>
  </si>
  <si>
    <t xml:space="preserve">4.   Although passengers are carried on the Corran Ferry, their numbers are not recorded because passenger travel is free. </t>
  </si>
  <si>
    <t>3.   Figures for 2000 and 2001 are estimates.</t>
  </si>
  <si>
    <t xml:space="preserve">      793,600 paying passengers in 1999.</t>
  </si>
  <si>
    <t>2.   Passenger numbers prior to 1999 are based on paying passengers, but from 1999 numbers are based on a head count. There were</t>
  </si>
  <si>
    <t>1.    In addition to the routes shown in this table, there may be some other routes, which have less traffic, for which the number of passengers</t>
  </si>
  <si>
    <t xml:space="preserve">Total traffic </t>
  </si>
  <si>
    <t xml:space="preserve">Outwards </t>
  </si>
  <si>
    <t xml:space="preserve">Other West Coast </t>
  </si>
  <si>
    <t xml:space="preserve">Other East Coast </t>
  </si>
  <si>
    <t xml:space="preserve">Liquefied gas </t>
  </si>
  <si>
    <t xml:space="preserve">Crude oil </t>
  </si>
  <si>
    <t xml:space="preserve">Oil products </t>
  </si>
  <si>
    <t xml:space="preserve">Other liquid bulk products </t>
  </si>
  <si>
    <t xml:space="preserve">Ores </t>
  </si>
  <si>
    <t xml:space="preserve">Coal </t>
  </si>
  <si>
    <t xml:space="preserve">Agricultural products (eg grain, soya, tapioca) </t>
  </si>
  <si>
    <t xml:space="preserve">Other dry bulk </t>
  </si>
  <si>
    <t xml:space="preserve">20' freight units </t>
  </si>
  <si>
    <t xml:space="preserve">40' freight units </t>
  </si>
  <si>
    <t xml:space="preserve">Freight units &gt;20' &amp; &lt;40' </t>
  </si>
  <si>
    <t xml:space="preserve">Freight units &gt;40' </t>
  </si>
  <si>
    <t xml:space="preserve">Road goods vehicles with or without  accompanying trailers </t>
  </si>
  <si>
    <t xml:space="preserve">Import/Export motor vehicles </t>
  </si>
  <si>
    <t xml:space="preserve">Forestry products </t>
  </si>
  <si>
    <t xml:space="preserve">All traffic </t>
  </si>
  <si>
    <t xml:space="preserve">Unaccompanied road goods trailers &amp; semi-trailers  </t>
  </si>
  <si>
    <t xml:space="preserve">Unaccompanied caravans and other road, agricultural and industrial vehicles  </t>
  </si>
  <si>
    <t xml:space="preserve">Rail wagons, shipborne port to port trailers, and shipborne barges engaged in goods transport  </t>
  </si>
  <si>
    <t xml:space="preserve">Other mobile non self-propelled units  </t>
  </si>
  <si>
    <t xml:space="preserve">Iron and steel products  </t>
  </si>
  <si>
    <t xml:space="preserve">Other general cargo &amp; containers &lt;20'    </t>
  </si>
  <si>
    <t>2005</t>
  </si>
  <si>
    <r>
      <t>Numbers of cars</t>
    </r>
  </si>
  <si>
    <t xml:space="preserve">Numbers of cars </t>
  </si>
  <si>
    <t xml:space="preserve">Roads goods vehicles </t>
  </si>
  <si>
    <t xml:space="preserve">Unaccompanied trailers </t>
  </si>
  <si>
    <t xml:space="preserve">Import/export vehicles </t>
  </si>
  <si>
    <t>2. These are passenger numbers only as car and commercial vehicles are not recorded.</t>
  </si>
  <si>
    <t xml:space="preserve">    Day charters and livestock specials are included in the figures for some routes.</t>
  </si>
  <si>
    <t xml:space="preserve">      Day charters and livestock specials are included in the figures for some routes.</t>
  </si>
  <si>
    <r>
      <t xml:space="preserve">Cars </t>
    </r>
    <r>
      <rPr>
        <b/>
        <vertAlign val="superscript"/>
        <sz val="12"/>
        <rFont val="Arial"/>
        <family val="2"/>
      </rPr>
      <t xml:space="preserve">1 </t>
    </r>
  </si>
  <si>
    <r>
      <t xml:space="preserve">Commercial Vehicles and Buses </t>
    </r>
    <r>
      <rPr>
        <b/>
        <vertAlign val="superscript"/>
        <sz val="12"/>
        <rFont val="Arial"/>
        <family val="2"/>
      </rPr>
      <t xml:space="preserve">1 </t>
    </r>
  </si>
  <si>
    <t>-06</t>
  </si>
  <si>
    <t xml:space="preserve">   All other traffic</t>
  </si>
  <si>
    <t xml:space="preserve">   Other general cargo</t>
  </si>
  <si>
    <t>2. The Troon - Belfast ferry service was withdrawn in December 2004.</t>
  </si>
  <si>
    <t>Iceland</t>
  </si>
  <si>
    <t>Tunisia</t>
  </si>
  <si>
    <t>Angola</t>
  </si>
  <si>
    <t>Argentina</t>
  </si>
  <si>
    <t>Asia and Australasia</t>
  </si>
  <si>
    <t>Singapore</t>
  </si>
  <si>
    <t>All Africa (excl. Mediterranean)</t>
  </si>
  <si>
    <t>"-" denotes either nil or less than half final digit shown.</t>
  </si>
  <si>
    <t>Strathclyde Partnership for Transport</t>
  </si>
  <si>
    <t>All Asia and Australasia</t>
  </si>
  <si>
    <t>India</t>
  </si>
  <si>
    <t>-07</t>
  </si>
  <si>
    <t>5.   Until 25 October 1999 this service carried pupils going to Lochaber High School. A bus service now operates to carry school pupils, which mainly accounts</t>
  </si>
  <si>
    <t xml:space="preserve">      for the drop in passenger numbers from 1999 to 2000. Since 2006 this has carried pupils from Fort William who attend Ardnamurchan High School</t>
  </si>
  <si>
    <t>12.  The Gairloch to Portree service operated by West Highland Seaways was withdrawn from 22 August 2004 but is expected to resume by 2008.</t>
  </si>
  <si>
    <t>8.  Northlink Ferries Ltd started operating its service on 6 July 2006, from NorthLink Orkney &amp; Shetland Ferries Ltd.</t>
  </si>
  <si>
    <t>2006</t>
  </si>
  <si>
    <t xml:space="preserve">12. The number of vehicles are no longer available due to a change in the method of collecting the data. </t>
  </si>
  <si>
    <t xml:space="preserve">11. The number of vehicles are no longer available due to a change in the method of collecting the data. </t>
  </si>
  <si>
    <t>1. The service started in May 2002. The drop in passenger numbers in 2006 follows a reduction in the frequency of the service with effect from November 2005.</t>
  </si>
  <si>
    <t>11.  The figures published previously for 2003 to 2005 were wrong. Corrected figures for 2003 and 2004 are not readily available.</t>
  </si>
  <si>
    <t>Chile</t>
  </si>
  <si>
    <t xml:space="preserve">Stranraer - Belfast </t>
  </si>
  <si>
    <t xml:space="preserve">4.  These figures relate to major ports only (please see the notes on the Sources of the statistics).   </t>
  </si>
  <si>
    <t xml:space="preserve">    There were seven major ports in 1996; eight in 1997 and 1998; nine in 1999; and eleven in 2000 onwards</t>
  </si>
  <si>
    <t>There were seven major ports in 1996, eight major ports in 1997 and 1998, nine in 1999 and 11 in 2000 onwards</t>
  </si>
  <si>
    <t xml:space="preserve">All EU countries (as at 1 May 2007)  </t>
  </si>
  <si>
    <t xml:space="preserve">European Union (as at 1 May 2007)  </t>
  </si>
  <si>
    <t>All EU countries (as at 1 May 2007)</t>
  </si>
  <si>
    <t>2007</t>
  </si>
  <si>
    <t>-08</t>
  </si>
  <si>
    <t>Source: Maritime and Coastguard Agency - Not National Statistics.</t>
  </si>
  <si>
    <t>Source: Ferry companies - Not National Statistics</t>
  </si>
  <si>
    <t>Source: CALMAC - Not National Statistics</t>
  </si>
  <si>
    <t>Source: Scottish Government - Not National Statistics</t>
  </si>
  <si>
    <t xml:space="preserve">       Previous years covered the period 1 October to 30 September.</t>
  </si>
  <si>
    <t xml:space="preserve">10.  2007 figures relate to an operating year from July to June 2007 and figures for 2006 relate to a financial year beginning 1 April.  </t>
  </si>
  <si>
    <t xml:space="preserve">The punctuality figures include services delayed due to circumstances beyond the operators control, such as adverse weather, for which the operator can claim relief.  </t>
  </si>
  <si>
    <t xml:space="preserve">From July 2006, the punctuality figures relate to services arriving within 10 minutes of the published timetable on the Pentland Firth services, within 30 minutes on the </t>
  </si>
  <si>
    <t>Aberdeen, Kirkwall and Lerwick passenger services and within 45 minutes on the Aberdeen, Kirkwall and Lerwick freight services.</t>
  </si>
  <si>
    <t xml:space="preserve">NorthLink Orkney and Shetland Ferries Ltd started operating its services on 1 October 2002. Its figures for 2002-03 therefore cover only a period of six months. </t>
  </si>
  <si>
    <t>NorthLink Ferries Ltd started operating its services on 6 July 2006 and  includes freight services for the first time.  The figures for 2007-08 relate to the 2007</t>
  </si>
  <si>
    <t xml:space="preserve">8.    Since 2001 the Gourock-Kilcreggan route has been tendered by Strathclyde Passenger Transport (SPT), and operated under contract by Clyde Marine. </t>
  </si>
  <si>
    <t xml:space="preserve">       The SPT changed it's name to Strathclyde Partnership for Transport in April 2006. It was a Caledonian MacBrayne route in previous years, so figures for 2000 and </t>
  </si>
  <si>
    <r>
      <t>(a)</t>
    </r>
    <r>
      <rPr>
        <b/>
        <sz val="12"/>
        <rFont val="Arial"/>
        <family val="2"/>
      </rPr>
      <t xml:space="preserve">  Waterborne freight </t>
    </r>
    <r>
      <rPr>
        <b/>
        <i/>
        <sz val="12"/>
        <rFont val="Arial"/>
        <family val="2"/>
      </rPr>
      <t>lifted</t>
    </r>
    <r>
      <rPr>
        <b/>
        <sz val="12"/>
        <rFont val="Arial"/>
        <family val="2"/>
      </rPr>
      <t xml:space="preserve"> in Scotland, and moved, by type of traffic </t>
    </r>
  </si>
  <si>
    <r>
      <t xml:space="preserve">Freight lifted  </t>
    </r>
    <r>
      <rPr>
        <i/>
        <sz val="12"/>
        <rFont val="Arial"/>
        <family val="2"/>
      </rPr>
      <t xml:space="preserve"> ( weight )</t>
    </r>
  </si>
  <si>
    <r>
      <t xml:space="preserve">  Coastwise traffic</t>
    </r>
    <r>
      <rPr>
        <vertAlign val="superscript"/>
        <sz val="12"/>
        <rFont val="Arial"/>
        <family val="2"/>
      </rPr>
      <t>1</t>
    </r>
  </si>
  <si>
    <r>
      <t xml:space="preserve">  One Port traffic</t>
    </r>
    <r>
      <rPr>
        <vertAlign val="superscript"/>
        <sz val="12"/>
        <rFont val="Arial"/>
        <family val="2"/>
      </rPr>
      <t>2</t>
    </r>
  </si>
  <si>
    <r>
      <t xml:space="preserve">  All above traffic</t>
    </r>
    <r>
      <rPr>
        <vertAlign val="superscript"/>
        <sz val="12"/>
        <rFont val="Arial"/>
        <family val="2"/>
      </rPr>
      <t>3</t>
    </r>
  </si>
  <si>
    <r>
      <t xml:space="preserve">  Port exports</t>
    </r>
    <r>
      <rPr>
        <vertAlign val="superscript"/>
        <sz val="12"/>
        <rFont val="Arial"/>
        <family val="2"/>
      </rPr>
      <t>4</t>
    </r>
  </si>
  <si>
    <r>
      <t xml:space="preserve">  All freight lifted</t>
    </r>
    <r>
      <rPr>
        <vertAlign val="superscript"/>
        <sz val="12"/>
        <rFont val="Arial"/>
        <family val="2"/>
      </rPr>
      <t>5</t>
    </r>
  </si>
  <si>
    <r>
      <t xml:space="preserve">Freight moved  </t>
    </r>
    <r>
      <rPr>
        <i/>
        <sz val="12"/>
        <rFont val="Arial"/>
        <family val="2"/>
      </rPr>
      <t>( weight x distance )</t>
    </r>
  </si>
  <si>
    <r>
      <t xml:space="preserve">  All above traffic</t>
    </r>
    <r>
      <rPr>
        <vertAlign val="superscript"/>
        <sz val="12"/>
        <rFont val="Arial"/>
        <family val="2"/>
      </rPr>
      <t>6</t>
    </r>
  </si>
  <si>
    <r>
      <t xml:space="preserve">  Port exports</t>
    </r>
    <r>
      <rPr>
        <vertAlign val="superscript"/>
        <sz val="12"/>
        <rFont val="Arial"/>
        <family val="2"/>
      </rPr>
      <t>7</t>
    </r>
  </si>
  <si>
    <r>
      <t xml:space="preserve">  All freight</t>
    </r>
    <r>
      <rPr>
        <vertAlign val="superscript"/>
        <sz val="12"/>
        <rFont val="Arial"/>
        <family val="2"/>
      </rPr>
      <t>7</t>
    </r>
  </si>
  <si>
    <t>Ukraine</t>
  </si>
  <si>
    <t>Japan</t>
  </si>
  <si>
    <t>-09</t>
  </si>
  <si>
    <r>
      <t xml:space="preserve">2008 </t>
    </r>
    <r>
      <rPr>
        <b/>
        <vertAlign val="superscript"/>
        <sz val="12"/>
        <rFont val="Arial"/>
        <family val="0"/>
      </rPr>
      <t>1</t>
    </r>
  </si>
  <si>
    <t xml:space="preserve">         WATER TRANSPORT</t>
  </si>
  <si>
    <t>2008</t>
  </si>
  <si>
    <t xml:space="preserve">    There was no service in the fourth quarter of 2008</t>
  </si>
  <si>
    <t>3. This service ran in 1999 only</t>
  </si>
  <si>
    <t>Liquid bulk</t>
  </si>
  <si>
    <t>All liquid bulk traffic</t>
  </si>
  <si>
    <t>Dry bulk</t>
  </si>
  <si>
    <t>All dry bulk traffic</t>
  </si>
  <si>
    <t>Containers</t>
  </si>
  <si>
    <t>All container traffic</t>
  </si>
  <si>
    <t>Roll-on/roll-off (non self-propelled)</t>
  </si>
  <si>
    <t>All ro-ro non self-propelled traffic</t>
  </si>
  <si>
    <t>Roll-on/roll-off (self-propelled)</t>
  </si>
  <si>
    <t>WATER TRANSPORT</t>
  </si>
  <si>
    <t xml:space="preserve">        passengers who had a zone card were not counted). SPT no longer operates the Renfrew-Yoker ferry.</t>
  </si>
  <si>
    <t>Africa - small flows</t>
  </si>
  <si>
    <t>Cameroon</t>
  </si>
  <si>
    <t>Americas - small flows</t>
  </si>
  <si>
    <t>Dominica</t>
  </si>
  <si>
    <t>Asia - small flows</t>
  </si>
  <si>
    <t>Australasia - small flows</t>
  </si>
  <si>
    <t>Malaysia</t>
  </si>
  <si>
    <t>European Union - small flows</t>
  </si>
  <si>
    <t>Other Europe &amp; Mediterranean</t>
  </si>
  <si>
    <t>-97</t>
  </si>
  <si>
    <t>-98</t>
  </si>
  <si>
    <t>-99</t>
  </si>
  <si>
    <t>-00</t>
  </si>
  <si>
    <r>
      <t xml:space="preserve">Major ports </t>
    </r>
    <r>
      <rPr>
        <b/>
        <vertAlign val="superscript"/>
        <sz val="12"/>
        <rFont val="Arial"/>
        <family val="2"/>
      </rPr>
      <t xml:space="preserve">4 </t>
    </r>
  </si>
  <si>
    <t>Total passengers</t>
  </si>
  <si>
    <t>Total vehicles</t>
  </si>
  <si>
    <t>Total all routes</t>
  </si>
  <si>
    <r>
      <t xml:space="preserve">(Corran Ferry) </t>
    </r>
    <r>
      <rPr>
        <vertAlign val="superscript"/>
        <sz val="12"/>
        <rFont val="Arial"/>
        <family val="2"/>
      </rPr>
      <t>4</t>
    </r>
  </si>
  <si>
    <r>
      <t xml:space="preserve">Camusnagaul - Fort William </t>
    </r>
    <r>
      <rPr>
        <vertAlign val="superscript"/>
        <sz val="12"/>
        <rFont val="Arial"/>
        <family val="2"/>
      </rPr>
      <t>5</t>
    </r>
  </si>
  <si>
    <r>
      <t>West Highland Seaways</t>
    </r>
    <r>
      <rPr>
        <b/>
        <vertAlign val="superscript"/>
        <sz val="12"/>
        <rFont val="Arial"/>
        <family val="2"/>
      </rPr>
      <t xml:space="preserve"> (12)</t>
    </r>
  </si>
  <si>
    <r>
      <t xml:space="preserve">Shetland Islands Council </t>
    </r>
    <r>
      <rPr>
        <b/>
        <vertAlign val="superscript"/>
        <sz val="12"/>
        <rFont val="Arial"/>
        <family val="2"/>
      </rPr>
      <t>1</t>
    </r>
  </si>
  <si>
    <r>
      <t xml:space="preserve">Lerwick - Bressay </t>
    </r>
    <r>
      <rPr>
        <vertAlign val="superscript"/>
        <sz val="12"/>
        <rFont val="Arial"/>
        <family val="2"/>
      </rPr>
      <t>6</t>
    </r>
  </si>
  <si>
    <r>
      <t xml:space="preserve">Renfrew - Yoker </t>
    </r>
    <r>
      <rPr>
        <vertAlign val="superscript"/>
        <sz val="12"/>
        <rFont val="Arial"/>
        <family val="2"/>
      </rPr>
      <t>7</t>
    </r>
  </si>
  <si>
    <r>
      <t xml:space="preserve">Gourock - Kilcreggan </t>
    </r>
    <r>
      <rPr>
        <vertAlign val="superscript"/>
        <sz val="12"/>
        <rFont val="Arial"/>
        <family val="2"/>
      </rPr>
      <t>8</t>
    </r>
  </si>
  <si>
    <r>
      <t>P &amp; O Scottish Ferries / Northlink Orkney &amp; Shetland Ferries</t>
    </r>
    <r>
      <rPr>
        <b/>
        <vertAlign val="superscript"/>
        <sz val="12"/>
        <rFont val="Arial"/>
        <family val="2"/>
      </rPr>
      <t>9,14</t>
    </r>
  </si>
  <si>
    <r>
      <t xml:space="preserve">Aberdeen - Stomness </t>
    </r>
    <r>
      <rPr>
        <vertAlign val="superscript"/>
        <sz val="12"/>
        <rFont val="Arial"/>
        <family val="2"/>
      </rPr>
      <t>(11)</t>
    </r>
  </si>
  <si>
    <r>
      <t xml:space="preserve">Aberdeen - Kirkwall </t>
    </r>
    <r>
      <rPr>
        <vertAlign val="superscript"/>
        <sz val="12"/>
        <rFont val="Arial"/>
        <family val="2"/>
      </rPr>
      <t>(11)</t>
    </r>
  </si>
  <si>
    <t>Table 9.6 (a)    Foreign and domestic freight traffic at the major ports by type of traffic, 2010</t>
  </si>
  <si>
    <r>
      <t xml:space="preserve">2010 </t>
    </r>
    <r>
      <rPr>
        <b/>
        <vertAlign val="superscript"/>
        <sz val="12"/>
        <rFont val="Arial"/>
        <family val="2"/>
      </rPr>
      <t>1</t>
    </r>
  </si>
  <si>
    <r>
      <t xml:space="preserve">2011 </t>
    </r>
    <r>
      <rPr>
        <b/>
        <vertAlign val="superscript"/>
        <sz val="12"/>
        <rFont val="Arial"/>
        <family val="2"/>
      </rPr>
      <t>1</t>
    </r>
  </si>
  <si>
    <t xml:space="preserve">details for 2007 to 2011. The figures provided are provisional - they have not been audited. </t>
  </si>
  <si>
    <t>1. Due to 'Industrial action short of a strike' undertaken by Coastguard staff during 2007 to 2011, the Maritime and Coastguard Agency is unable to provide full incident</t>
  </si>
  <si>
    <t>1. Seasonal carryings.</t>
  </si>
  <si>
    <t>2. These figures are an aggregate of the Uig-Tarbert-Lochmaddy, Uig-Lochmaddy, Uig-Tarbert &amp; Tarbert-Lochmaddy routes.</t>
  </si>
  <si>
    <t>3. This route was out of service between March 2003 and June 2003.</t>
  </si>
  <si>
    <t>4. Berneray-Leverburgh replaced the Otternish-Leverburgh service and started in 2002.</t>
  </si>
  <si>
    <t>6. Ballycastle-Rathlin has been operated by Rathlin Ferries since April 2007</t>
  </si>
  <si>
    <t>2.   These figures are an aggregate of the Uig-Tarbert-Lochmaddy, Uig-Lochmaddy, Uig-Tarbert &amp; Tarbert-Lochmaddy routes.</t>
  </si>
  <si>
    <t>3.   This route was out of service between March 2003 and June 2003.</t>
  </si>
  <si>
    <t>4.   Berneray-Leverburgh replaced the Otternish-Leverburgh service and started in 2002.</t>
  </si>
  <si>
    <t>Ardmhor (Barra) to Eriskay</t>
  </si>
  <si>
    <t>Kennacraig to Islay/C'say/Oban</t>
  </si>
  <si>
    <t>Mallaig to Eigg/Muck/Rum/Canna</t>
  </si>
  <si>
    <t>Oban to Coll/Tiree/Castlebay</t>
  </si>
  <si>
    <t>Oban to Colonsay</t>
  </si>
  <si>
    <t>Oban to Lismore</t>
  </si>
  <si>
    <t>Tobermory to Kilchoan</t>
  </si>
  <si>
    <t>Kennacraig-Islay</t>
  </si>
  <si>
    <t>Oban-Craignure</t>
  </si>
  <si>
    <t>Fishnish-Lochaline</t>
  </si>
  <si>
    <t>Oban-Coll/Tiree</t>
  </si>
  <si>
    <t>Oban-Castlebay-</t>
  </si>
  <si>
    <t>Mallaig-Armadale</t>
  </si>
  <si>
    <r>
      <t xml:space="preserve">Uig-Tarbert/Lochmaddy </t>
    </r>
    <r>
      <rPr>
        <vertAlign val="superscript"/>
        <sz val="12"/>
        <rFont val="Arial"/>
        <family val="2"/>
      </rPr>
      <t>2</t>
    </r>
  </si>
  <si>
    <t>Ullapool-Stornoway</t>
  </si>
  <si>
    <t>Tayinloan-Gigha</t>
  </si>
  <si>
    <t>Raasay-Sconser</t>
  </si>
  <si>
    <t>Otternish-Leverburgh</t>
  </si>
  <si>
    <r>
      <t xml:space="preserve">Berneray-Leverburgh </t>
    </r>
    <r>
      <rPr>
        <vertAlign val="superscript"/>
        <sz val="12"/>
        <rFont val="Arial"/>
        <family val="2"/>
      </rPr>
      <t>4</t>
    </r>
  </si>
  <si>
    <r>
      <t>Uig-Tarbert-Lochmaddy</t>
    </r>
    <r>
      <rPr>
        <vertAlign val="superscript"/>
        <sz val="12"/>
        <rFont val="Arial"/>
        <family val="2"/>
      </rPr>
      <t xml:space="preserve"> 2</t>
    </r>
  </si>
  <si>
    <t xml:space="preserve">Otternish-Leverburgh </t>
  </si>
  <si>
    <r>
      <t>Berneray-Leverburgh</t>
    </r>
    <r>
      <rPr>
        <vertAlign val="superscript"/>
        <sz val="12"/>
        <rFont val="Arial"/>
        <family val="2"/>
      </rPr>
      <t xml:space="preserve"> 4</t>
    </r>
  </si>
  <si>
    <r>
      <t xml:space="preserve">Gourock-Dunoon </t>
    </r>
    <r>
      <rPr>
        <vertAlign val="superscript"/>
        <sz val="12"/>
        <rFont val="Arial"/>
        <family val="2"/>
      </rPr>
      <t>3, 5</t>
    </r>
  </si>
  <si>
    <t>Wemyss Bay-Rothesay</t>
  </si>
  <si>
    <t>Colintraive-Rhubodach</t>
  </si>
  <si>
    <t xml:space="preserve">Tarbert-Portavadie </t>
  </si>
  <si>
    <t>Ardrossan-Brodick</t>
  </si>
  <si>
    <r>
      <t>Lochranza-Tarbet/Claonaig</t>
    </r>
    <r>
      <rPr>
        <vertAlign val="superscript"/>
        <sz val="12"/>
        <rFont val="Arial"/>
        <family val="2"/>
      </rPr>
      <t xml:space="preserve"> 1</t>
    </r>
  </si>
  <si>
    <t>Largs-Cumbrae</t>
  </si>
  <si>
    <r>
      <t>Other</t>
    </r>
    <r>
      <rPr>
        <vertAlign val="superscript"/>
        <sz val="12"/>
        <rFont val="Arial"/>
        <family val="2"/>
      </rPr>
      <t xml:space="preserve"> </t>
    </r>
  </si>
  <si>
    <t>Total Clyde</t>
  </si>
  <si>
    <r>
      <t xml:space="preserve">Gourock-Dunoon </t>
    </r>
    <r>
      <rPr>
        <vertAlign val="superscript"/>
        <sz val="12"/>
        <rFont val="Arial"/>
        <family val="2"/>
      </rPr>
      <t xml:space="preserve">3,5 </t>
    </r>
  </si>
  <si>
    <t>Lochranza-Tarbet/Claonaig 1</t>
  </si>
  <si>
    <t>Uig-Tarbert-Lochmaddy 2</t>
  </si>
  <si>
    <t>Berneray-Leverburgh 4</t>
  </si>
  <si>
    <t xml:space="preserve">  Oban-Castlebay- Lochboisdale</t>
  </si>
  <si>
    <r>
      <t xml:space="preserve">Gourock-Dunoon </t>
    </r>
    <r>
      <rPr>
        <vertAlign val="superscript"/>
        <sz val="10"/>
        <rFont val="Arial"/>
        <family val="2"/>
      </rPr>
      <t>3, 5</t>
    </r>
  </si>
  <si>
    <r>
      <t>Lochranza-Tarbet/Claonaig</t>
    </r>
    <r>
      <rPr>
        <vertAlign val="superscript"/>
        <sz val="10"/>
        <rFont val="Arial"/>
        <family val="2"/>
      </rPr>
      <t xml:space="preserve"> 1</t>
    </r>
  </si>
  <si>
    <r>
      <t>Uig-Tarbert-Lochmaddy</t>
    </r>
    <r>
      <rPr>
        <vertAlign val="superscript"/>
        <sz val="10"/>
        <rFont val="Arial"/>
        <family val="2"/>
      </rPr>
      <t xml:space="preserve"> 2</t>
    </r>
  </si>
  <si>
    <r>
      <t>Berneray-Leverburgh</t>
    </r>
    <r>
      <rPr>
        <vertAlign val="superscript"/>
        <sz val="10"/>
        <rFont val="Arial"/>
        <family val="2"/>
      </rPr>
      <t xml:space="preserve"> 4</t>
    </r>
  </si>
  <si>
    <t>Stranraer-Belfast</t>
  </si>
  <si>
    <t>Cairnryan-Larne</t>
  </si>
  <si>
    <r>
      <t xml:space="preserve">Argyll Ferries (subsidy) </t>
    </r>
    <r>
      <rPr>
        <vertAlign val="superscript"/>
        <sz val="12"/>
        <rFont val="Arial"/>
        <family val="2"/>
      </rPr>
      <t>3</t>
    </r>
  </si>
  <si>
    <t>South Korea</t>
  </si>
  <si>
    <t>P&amp;O Scottish Ferries</t>
  </si>
  <si>
    <t>Northlink Orkney &amp; Shetland Ferries</t>
  </si>
  <si>
    <t>Orkney Line (Previously Orcargo)</t>
  </si>
  <si>
    <t>Bruce Watt Cruises</t>
  </si>
  <si>
    <t>West Highland Seaways</t>
  </si>
  <si>
    <t>Scotland and Northern Ireland</t>
  </si>
  <si>
    <t>Scotland and Europe</t>
  </si>
  <si>
    <t>Total within Scotland</t>
  </si>
  <si>
    <t>PASSENGERS</t>
  </si>
  <si>
    <t>VEHICLES (cars, commercial vehicles and buses)</t>
  </si>
  <si>
    <r>
      <t>Table 9.18</t>
    </r>
    <r>
      <rPr>
        <sz val="12"/>
        <rFont val="Arial"/>
        <family val="2"/>
      </rPr>
      <t xml:space="preserve">  HM Coastguard statistics: Search and rescue operations (Scotland)</t>
    </r>
  </si>
  <si>
    <t xml:space="preserve">Table 9.17     Reliability and punctuality of lifeline ferry services </t>
  </si>
  <si>
    <r>
      <t>Table 9.16 (continued)</t>
    </r>
    <r>
      <rPr>
        <sz val="13"/>
        <rFont val="Arial"/>
        <family val="2"/>
      </rPr>
      <t xml:space="preserve">  Traffic on some other major ferry routes</t>
    </r>
  </si>
  <si>
    <t xml:space="preserve">      and vehicles are included in the totals for the operator which appear in table 9.14.</t>
  </si>
  <si>
    <t xml:space="preserve">Table 9.16 (continued) Traffic on some other major ferry routes  </t>
  </si>
  <si>
    <t xml:space="preserve">     vehicles are included in the totals for the operator which appear in table 9.14.</t>
  </si>
  <si>
    <t xml:space="preserve">Table 9.16    Traffic on some other major ferry routes    </t>
  </si>
  <si>
    <t>Table 9.15 (Continued)  Traffic on Caledonian MacBrayne ferry services</t>
  </si>
  <si>
    <t>Table 9.15  Traffic on Caledonian MacBrayne ferry services</t>
  </si>
  <si>
    <t>Table 9.14  Shipping services</t>
  </si>
  <si>
    <t>1.  Figures include charter and contract carryings (see table 9.15).</t>
  </si>
  <si>
    <r>
      <t>Table 9.13(a)</t>
    </r>
    <r>
      <rPr>
        <sz val="13"/>
        <rFont val="Arial"/>
        <family val="2"/>
      </rPr>
      <t xml:space="preserve">    Vehicle and Passenger Traffic between Scotland and Northern Ireland</t>
    </r>
  </si>
  <si>
    <r>
      <t xml:space="preserve">Table 9.13 (b) </t>
    </r>
    <r>
      <rPr>
        <sz val="13"/>
        <rFont val="Arial"/>
        <family val="2"/>
      </rPr>
      <t xml:space="preserve">    Vehicle and Passenger Traffic between Scotland and Europe</t>
    </r>
  </si>
  <si>
    <r>
      <t>Table 9.12</t>
    </r>
    <r>
      <rPr>
        <sz val="12"/>
        <rFont val="Arial"/>
        <family val="2"/>
      </rPr>
      <t xml:space="preserve">   Total passengers and vehicles carried</t>
    </r>
  </si>
  <si>
    <t>5. Gourock-Dunoon has been operated by Argyll Ferries Ltd since 30 June 2011.</t>
  </si>
  <si>
    <t>6.  This is the total of Coastwise traffic, One Port traffic and Inland Waterway traffic. No double counting exists as the Coastwise component of Inland Waterway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</si>
</sst>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,##0,"/>
    <numFmt numFmtId="168" formatCode="###0.0"/>
    <numFmt numFmtId="169" formatCode="###,###,###,"/>
    <numFmt numFmtId="170" formatCode="#,##0.0_ ;\-#,##0.0\ "/>
    <numFmt numFmtId="171" formatCode="0.0%"/>
    <numFmt numFmtId="172" formatCode="General_)"/>
    <numFmt numFmtId="173" formatCode="_-* #,##0.0_-;\-* #,##0.0_-;_-* &quot;-&quot;??_-;_-@_-"/>
    <numFmt numFmtId="174" formatCode="_-* #,##0.0_-;\-* #,##0.0_-;_-* &quot;-&quot;?_-;_-@_-"/>
    <numFmt numFmtId="175" formatCode="#,##0_);\(#,##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%"/>
    <numFmt numFmtId="181" formatCode="0.000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8"/>
      <name val="Arial"/>
      <family val="2"/>
    </font>
    <font>
      <sz val="12"/>
      <color indexed="56"/>
      <name val="Arial"/>
      <family val="2"/>
    </font>
    <font>
      <sz val="12"/>
      <color indexed="3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2"/>
      <color indexed="12"/>
      <name val="Arial"/>
      <family val="2"/>
    </font>
    <font>
      <i/>
      <sz val="12"/>
      <color indexed="39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0"/>
      <color indexed="8"/>
      <name val="MS Sans Serif"/>
      <family val="0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39"/>
      <name val="Arial"/>
      <family val="2"/>
    </font>
    <font>
      <sz val="12"/>
      <name val="Times New Roman"/>
      <family val="1"/>
    </font>
    <font>
      <sz val="12"/>
      <name val="Tms Rmn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i/>
      <sz val="12"/>
      <color indexed="56"/>
      <name val="Arial"/>
      <family val="0"/>
    </font>
    <font>
      <b/>
      <u val="single"/>
      <sz val="12"/>
      <name val="Arial"/>
      <family val="0"/>
    </font>
    <font>
      <b/>
      <sz val="12"/>
      <color indexed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14"/>
      <name val="Arial"/>
      <family val="2"/>
    </font>
    <font>
      <vertAlign val="superscript"/>
      <sz val="13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4"/>
      <color indexed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name val="Tms Rmn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39"/>
      <name val="Arial"/>
      <family val="2"/>
    </font>
    <font>
      <b/>
      <sz val="10"/>
      <color indexed="56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9.25"/>
      <color indexed="8"/>
      <name val="Arial"/>
      <family val="0"/>
    </font>
    <font>
      <sz val="10.5"/>
      <color indexed="8"/>
      <name val="Arial"/>
      <family val="0"/>
    </font>
    <font>
      <sz val="8"/>
      <color indexed="8"/>
      <name val="Arial"/>
      <family val="0"/>
    </font>
    <font>
      <sz val="18.25"/>
      <color indexed="8"/>
      <name val="Arial"/>
      <family val="0"/>
    </font>
    <font>
      <sz val="14.75"/>
      <color indexed="8"/>
      <name val="Arial"/>
      <family val="0"/>
    </font>
    <font>
      <b/>
      <sz val="14.25"/>
      <color indexed="8"/>
      <name val="Arial"/>
      <family val="0"/>
    </font>
    <font>
      <sz val="14.25"/>
      <color indexed="8"/>
      <name val="Arial"/>
      <family val="0"/>
    </font>
    <font>
      <sz val="18"/>
      <color indexed="8"/>
      <name val="Arial"/>
      <family val="0"/>
    </font>
    <font>
      <b/>
      <sz val="14.5"/>
      <color indexed="8"/>
      <name val="Arial"/>
      <family val="0"/>
    </font>
    <font>
      <sz val="14.5"/>
      <color indexed="8"/>
      <name val="Arial"/>
      <family val="0"/>
    </font>
    <font>
      <sz val="11.7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0" borderId="0" applyNumberFormat="0" applyFont="0" applyFill="0" applyBorder="0" applyProtection="0">
      <alignment horizontal="left" vertical="center" indent="5"/>
    </xf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4" fontId="54" fillId="6" borderId="1">
      <alignment horizontal="right" vertical="center"/>
      <protection/>
    </xf>
    <xf numFmtId="0" fontId="55" fillId="3" borderId="0" applyNumberFormat="0" applyBorder="0" applyAlignment="0" applyProtection="0"/>
    <xf numFmtId="4" fontId="56" fillId="0" borderId="2" applyFill="0" applyBorder="0" applyProtection="0">
      <alignment horizontal="right" vertical="center"/>
    </xf>
    <xf numFmtId="0" fontId="57" fillId="20" borderId="3" applyNumberFormat="0" applyAlignment="0" applyProtection="0"/>
    <xf numFmtId="0" fontId="58" fillId="2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7" borderId="3" applyNumberFormat="0" applyAlignment="0" applyProtection="0"/>
    <xf numFmtId="4" fontId="54" fillId="0" borderId="8">
      <alignment horizontal="right" vertical="center"/>
      <protection/>
    </xf>
    <xf numFmtId="0" fontId="65" fillId="0" borderId="9" applyNumberFormat="0" applyFill="0" applyAlignment="0" applyProtection="0"/>
    <xf numFmtId="0" fontId="66" fillId="22" borderId="0" applyNumberFormat="0" applyBorder="0" applyAlignment="0" applyProtection="0"/>
    <xf numFmtId="0" fontId="52" fillId="21" borderId="0" applyNumberFormat="0" applyFon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67" fillId="23" borderId="10" applyNumberFormat="0" applyFont="0" applyAlignment="0" applyProtection="0"/>
    <xf numFmtId="0" fontId="68" fillId="20" borderId="1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4" fillId="21" borderId="1">
      <alignment/>
      <protection/>
    </xf>
    <xf numFmtId="0" fontId="50" fillId="0" borderId="0">
      <alignment vertical="top"/>
      <protection/>
    </xf>
    <xf numFmtId="0" fontId="69" fillId="0" borderId="0" applyNumberFormat="0" applyFill="0" applyBorder="0" applyAlignment="0" applyProtection="0"/>
    <xf numFmtId="172" fontId="70" fillId="0" borderId="0">
      <alignment/>
      <protection/>
    </xf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4" fontId="54" fillId="0" borderId="0">
      <alignment/>
      <protection/>
    </xf>
  </cellStyleXfs>
  <cellXfs count="70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 indent="1"/>
    </xf>
    <xf numFmtId="164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 horizontal="left" indent="2"/>
    </xf>
    <xf numFmtId="0" fontId="1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Fill="1" applyAlignment="1" applyProtection="1">
      <alignment/>
      <protection locked="0"/>
    </xf>
    <xf numFmtId="3" fontId="10" fillId="0" borderId="0" xfId="45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3" fontId="10" fillId="0" borderId="0" xfId="0" applyNumberFormat="1" applyFont="1" applyAlignment="1" applyProtection="1" quotePrefix="1">
      <alignment horizontal="right"/>
      <protection locked="0"/>
    </xf>
    <xf numFmtId="3" fontId="10" fillId="0" borderId="0" xfId="0" applyNumberFormat="1" applyFont="1" applyFill="1" applyAlignment="1" applyProtection="1" quotePrefix="1">
      <alignment horizontal="right"/>
      <protection locked="0"/>
    </xf>
    <xf numFmtId="3" fontId="1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3" fontId="10" fillId="0" borderId="0" xfId="45" applyNumberFormat="1" applyFont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 quotePrefix="1">
      <alignment horizontal="right"/>
      <protection locked="0"/>
    </xf>
    <xf numFmtId="4" fontId="14" fillId="0" borderId="0" xfId="0" applyNumberFormat="1" applyFont="1" applyAlignment="1" applyProtection="1">
      <alignment/>
      <protection/>
    </xf>
    <xf numFmtId="3" fontId="14" fillId="0" borderId="0" xfId="45" applyNumberFormat="1" applyFont="1" applyAlignment="1" applyProtection="1">
      <alignment/>
      <protection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Border="1" applyAlignment="1">
      <alignment horizontal="right"/>
    </xf>
    <xf numFmtId="164" fontId="10" fillId="0" borderId="0" xfId="0" applyNumberFormat="1" applyFont="1" applyFill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10" fillId="0" borderId="15" xfId="0" applyFont="1" applyBorder="1" applyAlignment="1">
      <alignment/>
    </xf>
    <xf numFmtId="0" fontId="4" fillId="0" borderId="15" xfId="0" applyFont="1" applyBorder="1" applyAlignment="1" quotePrefix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" fontId="1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top"/>
    </xf>
    <xf numFmtId="0" fontId="0" fillId="0" borderId="0" xfId="0" applyBorder="1" applyAlignment="1" applyProtection="1">
      <alignment horizontal="left" indent="1"/>
      <protection locked="0"/>
    </xf>
    <xf numFmtId="0" fontId="2" fillId="0" borderId="0" xfId="0" applyFont="1" applyFill="1" applyBorder="1" applyAlignment="1">
      <alignment horizontal="right"/>
    </xf>
    <xf numFmtId="3" fontId="19" fillId="0" borderId="0" xfId="0" applyNumberFormat="1" applyFont="1" applyBorder="1" applyAlignment="1">
      <alignment/>
    </xf>
    <xf numFmtId="0" fontId="0" fillId="24" borderId="0" xfId="0" applyFill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2" fontId="10" fillId="0" borderId="0" xfId="0" applyNumberFormat="1" applyFont="1" applyFill="1" applyAlignment="1" applyProtection="1">
      <alignment/>
      <protection locked="0"/>
    </xf>
    <xf numFmtId="41" fontId="10" fillId="0" borderId="0" xfId="45" applyNumberFormat="1" applyFont="1" applyFill="1" applyAlignment="1" applyProtection="1">
      <alignment/>
      <protection locked="0"/>
    </xf>
    <xf numFmtId="3" fontId="10" fillId="0" borderId="0" xfId="45" applyNumberFormat="1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1" fontId="0" fillId="0" borderId="0" xfId="0" applyNumberFormat="1" applyAlignment="1">
      <alignment/>
    </xf>
    <xf numFmtId="4" fontId="14" fillId="0" borderId="0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164" fontId="21" fillId="0" borderId="0" xfId="0" applyNumberFormat="1" applyFont="1" applyAlignment="1">
      <alignment vertical="center"/>
    </xf>
    <xf numFmtId="1" fontId="10" fillId="0" borderId="0" xfId="0" applyNumberFormat="1" applyFont="1" applyFill="1" applyAlignment="1" applyProtection="1">
      <alignment/>
      <protection locked="0"/>
    </xf>
    <xf numFmtId="41" fontId="10" fillId="0" borderId="0" xfId="45" applyNumberFormat="1" applyFont="1" applyFill="1" applyAlignment="1" applyProtection="1">
      <alignment horizontal="right"/>
      <protection locked="0"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166" fontId="10" fillId="0" borderId="0" xfId="45" applyNumberFormat="1" applyFont="1" applyFill="1" applyAlignment="1" applyProtection="1">
      <alignment/>
      <protection locked="0"/>
    </xf>
    <xf numFmtId="166" fontId="10" fillId="0" borderId="0" xfId="45" applyNumberFormat="1" applyFont="1" applyFill="1" applyAlignment="1" applyProtection="1">
      <alignment horizontal="right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41" fontId="10" fillId="0" borderId="0" xfId="45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/>
      <protection locked="0"/>
    </xf>
    <xf numFmtId="165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66" fontId="10" fillId="0" borderId="0" xfId="45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right"/>
      <protection locked="0"/>
    </xf>
    <xf numFmtId="4" fontId="14" fillId="0" borderId="0" xfId="0" applyNumberFormat="1" applyFont="1" applyFill="1" applyAlignment="1" applyProtection="1">
      <alignment/>
      <protection/>
    </xf>
    <xf numFmtId="3" fontId="14" fillId="0" borderId="0" xfId="45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/>
      <protection locked="0"/>
    </xf>
    <xf numFmtId="165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Border="1" applyAlignment="1" quotePrefix="1">
      <alignment horizontal="right"/>
    </xf>
    <xf numFmtId="165" fontId="10" fillId="0" borderId="13" xfId="0" applyNumberFormat="1" applyFont="1" applyFill="1" applyBorder="1" applyAlignment="1">
      <alignment/>
    </xf>
    <xf numFmtId="164" fontId="21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10" fillId="0" borderId="13" xfId="0" applyFont="1" applyFill="1" applyBorder="1" applyAlignment="1">
      <alignment/>
    </xf>
    <xf numFmtId="4" fontId="14" fillId="0" borderId="0" xfId="0" applyNumberFormat="1" applyFont="1" applyFill="1" applyBorder="1" applyAlignment="1" applyProtection="1">
      <alignment/>
      <protection/>
    </xf>
    <xf numFmtId="166" fontId="10" fillId="0" borderId="0" xfId="45" applyNumberFormat="1" applyFont="1" applyFill="1" applyBorder="1" applyAlignment="1" applyProtection="1">
      <alignment/>
      <protection locked="0"/>
    </xf>
    <xf numFmtId="4" fontId="10" fillId="0" borderId="0" xfId="45" applyNumberFormat="1" applyFont="1" applyFill="1" applyBorder="1" applyAlignment="1" applyProtection="1">
      <alignment/>
      <protection locked="0"/>
    </xf>
    <xf numFmtId="0" fontId="10" fillId="0" borderId="0" xfId="45" applyNumberFormat="1" applyFont="1" applyFill="1" applyAlignment="1" applyProtection="1">
      <alignment horizontal="right"/>
      <protection locked="0"/>
    </xf>
    <xf numFmtId="0" fontId="10" fillId="0" borderId="0" xfId="45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Border="1" applyAlignment="1" applyProtection="1" quotePrefix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1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10" fillId="0" borderId="0" xfId="45" applyNumberFormat="1" applyFont="1" applyBorder="1" applyAlignment="1" applyProtection="1" quotePrefix="1">
      <alignment horizontal="right"/>
      <protection locked="0"/>
    </xf>
    <xf numFmtId="1" fontId="10" fillId="0" borderId="0" xfId="45" applyNumberFormat="1" applyFont="1" applyBorder="1" applyAlignment="1" applyProtection="1">
      <alignment horizontal="right"/>
      <protection locked="0"/>
    </xf>
    <xf numFmtId="1" fontId="10" fillId="0" borderId="0" xfId="45" applyNumberFormat="1" applyFont="1" applyFill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171" fontId="0" fillId="0" borderId="0" xfId="6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1" fillId="0" borderId="0" xfId="62" applyFont="1" applyFill="1" applyBorder="1" applyAlignment="1">
      <alignment horizontal="left" wrapText="1"/>
      <protection/>
    </xf>
    <xf numFmtId="0" fontId="10" fillId="0" borderId="0" xfId="0" applyFont="1" applyAlignment="1" applyProtection="1">
      <alignment horizontal="right"/>
      <protection locked="0"/>
    </xf>
    <xf numFmtId="3" fontId="10" fillId="0" borderId="0" xfId="45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165" fontId="10" fillId="0" borderId="0" xfId="0" applyNumberFormat="1" applyFont="1" applyFill="1" applyAlignment="1" applyProtection="1">
      <alignment horizontal="right"/>
      <protection locked="0"/>
    </xf>
    <xf numFmtId="165" fontId="21" fillId="0" borderId="0" xfId="0" applyNumberFormat="1" applyFont="1" applyFill="1" applyAlignment="1">
      <alignment vertical="center"/>
    </xf>
    <xf numFmtId="165" fontId="1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65" fontId="10" fillId="0" borderId="0" xfId="0" applyNumberFormat="1" applyFont="1" applyBorder="1" applyAlignment="1">
      <alignment horizontal="right"/>
    </xf>
    <xf numFmtId="168" fontId="10" fillId="0" borderId="0" xfId="0" applyNumberFormat="1" applyFont="1" applyAlignment="1">
      <alignment/>
    </xf>
    <xf numFmtId="168" fontId="10" fillId="0" borderId="0" xfId="0" applyNumberFormat="1" applyFont="1" applyFill="1" applyAlignment="1">
      <alignment/>
    </xf>
    <xf numFmtId="165" fontId="2" fillId="0" borderId="0" xfId="0" applyNumberFormat="1" applyFont="1" applyBorder="1" applyAlignment="1">
      <alignment horizontal="right"/>
    </xf>
    <xf numFmtId="165" fontId="10" fillId="0" borderId="0" xfId="0" applyNumberFormat="1" applyFont="1" applyFill="1" applyBorder="1" applyAlignment="1" quotePrefix="1">
      <alignment horizontal="right"/>
    </xf>
    <xf numFmtId="0" fontId="19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164" fontId="1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" fontId="10" fillId="0" borderId="0" xfId="45" applyNumberFormat="1" applyFont="1" applyAlignment="1" applyProtection="1">
      <alignment/>
      <protection locked="0"/>
    </xf>
    <xf numFmtId="1" fontId="10" fillId="0" borderId="0" xfId="45" applyNumberFormat="1" applyFont="1" applyFill="1" applyAlignment="1">
      <alignment/>
    </xf>
    <xf numFmtId="1" fontId="10" fillId="0" borderId="0" xfId="0" applyNumberFormat="1" applyFont="1" applyFill="1" applyBorder="1" applyAlignment="1">
      <alignment horizontal="right"/>
    </xf>
    <xf numFmtId="3" fontId="28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vertical="center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Alignment="1" applyProtection="1">
      <alignment/>
      <protection locked="0"/>
    </xf>
    <xf numFmtId="2" fontId="19" fillId="0" borderId="0" xfId="0" applyNumberFormat="1" applyFont="1" applyFill="1" applyAlignment="1" applyProtection="1">
      <alignment horizontal="right"/>
      <protection locked="0"/>
    </xf>
    <xf numFmtId="166" fontId="19" fillId="0" borderId="0" xfId="45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Alignment="1" applyProtection="1">
      <alignment/>
      <protection locked="0"/>
    </xf>
    <xf numFmtId="164" fontId="19" fillId="0" borderId="0" xfId="45" applyNumberFormat="1" applyFont="1" applyFill="1" applyAlignment="1">
      <alignment/>
    </xf>
    <xf numFmtId="165" fontId="19" fillId="0" borderId="0" xfId="0" applyNumberFormat="1" applyFont="1" applyFill="1" applyAlignment="1">
      <alignment/>
    </xf>
    <xf numFmtId="0" fontId="10" fillId="0" borderId="16" xfId="0" applyFont="1" applyBorder="1" applyAlignment="1">
      <alignment/>
    </xf>
    <xf numFmtId="0" fontId="10" fillId="0" borderId="17" xfId="0" applyNumberFormat="1" applyFont="1" applyFill="1" applyBorder="1" applyAlignment="1" applyProtection="1">
      <alignment horizontal="right"/>
      <protection locked="0"/>
    </xf>
    <xf numFmtId="0" fontId="10" fillId="0" borderId="16" xfId="0" applyFont="1" applyFill="1" applyBorder="1" applyAlignment="1">
      <alignment/>
    </xf>
    <xf numFmtId="165" fontId="10" fillId="0" borderId="16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 horizontal="right"/>
    </xf>
    <xf numFmtId="3" fontId="19" fillId="0" borderId="0" xfId="45" applyNumberFormat="1" applyFont="1" applyFill="1" applyBorder="1" applyAlignment="1" applyProtection="1">
      <alignment/>
      <protection locked="0"/>
    </xf>
    <xf numFmtId="3" fontId="19" fillId="0" borderId="0" xfId="45" applyNumberFormat="1" applyFont="1" applyFill="1" applyAlignment="1" applyProtection="1">
      <alignment/>
      <protection locked="0"/>
    </xf>
    <xf numFmtId="3" fontId="10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horizontal="right"/>
      <protection locked="0"/>
    </xf>
    <xf numFmtId="0" fontId="21" fillId="0" borderId="0" xfId="63" applyFont="1" applyFill="1" applyBorder="1" applyAlignment="1">
      <alignment horizontal="left"/>
      <protection/>
    </xf>
    <xf numFmtId="3" fontId="10" fillId="0" borderId="0" xfId="0" applyNumberFormat="1" applyFont="1" applyFill="1" applyAlignment="1">
      <alignment horizontal="right"/>
    </xf>
    <xf numFmtId="165" fontId="1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4" fillId="0" borderId="13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right"/>
    </xf>
    <xf numFmtId="2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3" fontId="19" fillId="0" borderId="0" xfId="45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65" fontId="10" fillId="0" borderId="0" xfId="0" applyNumberFormat="1" applyFont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right"/>
      <protection locked="0"/>
    </xf>
    <xf numFmtId="1" fontId="20" fillId="0" borderId="0" xfId="0" applyNumberFormat="1" applyFont="1" applyAlignment="1" applyProtection="1">
      <alignment/>
      <protection/>
    </xf>
    <xf numFmtId="0" fontId="10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12" fillId="0" borderId="19" xfId="0" applyFont="1" applyBorder="1" applyAlignment="1" applyProtection="1" quotePrefix="1">
      <alignment horizontal="right"/>
      <protection locked="0"/>
    </xf>
    <xf numFmtId="3" fontId="10" fillId="0" borderId="19" xfId="0" applyNumberFormat="1" applyFont="1" applyBorder="1" applyAlignment="1" applyProtection="1" quotePrefix="1">
      <alignment horizontal="right"/>
      <protection locked="0"/>
    </xf>
    <xf numFmtId="2" fontId="10" fillId="0" borderId="19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/>
    </xf>
    <xf numFmtId="166" fontId="20" fillId="0" borderId="0" xfId="45" applyNumberFormat="1" applyFont="1" applyFill="1" applyAlignment="1" applyProtection="1">
      <alignment/>
      <protection/>
    </xf>
    <xf numFmtId="1" fontId="20" fillId="0" borderId="0" xfId="0" applyNumberFormat="1" applyFont="1" applyFill="1" applyAlignment="1" applyProtection="1">
      <alignment/>
      <protection/>
    </xf>
    <xf numFmtId="3" fontId="10" fillId="0" borderId="19" xfId="0" applyNumberFormat="1" applyFont="1" applyFill="1" applyBorder="1" applyAlignment="1" applyProtection="1" quotePrefix="1">
      <alignment horizontal="right"/>
      <protection locked="0"/>
    </xf>
    <xf numFmtId="3" fontId="10" fillId="0" borderId="19" xfId="0" applyNumberFormat="1" applyFont="1" applyFill="1" applyBorder="1" applyAlignment="1" applyProtection="1">
      <alignment/>
      <protection locked="0"/>
    </xf>
    <xf numFmtId="0" fontId="10" fillId="0" borderId="19" xfId="0" applyFont="1" applyBorder="1" applyAlignment="1">
      <alignment/>
    </xf>
    <xf numFmtId="0" fontId="27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Alignment="1" applyProtection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6" fontId="10" fillId="0" borderId="0" xfId="45" applyNumberFormat="1" applyFont="1" applyFill="1" applyAlignment="1" applyProtection="1">
      <alignment horizontal="right"/>
      <protection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 indent="2"/>
    </xf>
    <xf numFmtId="166" fontId="10" fillId="0" borderId="0" xfId="45" applyNumberFormat="1" applyFont="1" applyAlignment="1" applyProtection="1">
      <alignment horizontal="right"/>
      <protection/>
    </xf>
    <xf numFmtId="166" fontId="10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1" fillId="0" borderId="0" xfId="0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167" fontId="31" fillId="0" borderId="0" xfId="0" applyNumberFormat="1" applyFont="1" applyAlignment="1" applyProtection="1">
      <alignment/>
      <protection/>
    </xf>
    <xf numFmtId="167" fontId="32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>
      <alignment/>
    </xf>
    <xf numFmtId="167" fontId="4" fillId="0" borderId="0" xfId="0" applyNumberFormat="1" applyFont="1" applyAlignment="1">
      <alignment/>
    </xf>
    <xf numFmtId="0" fontId="33" fillId="0" borderId="0" xfId="63" applyFont="1" applyFill="1" applyBorder="1" applyAlignment="1">
      <alignment horizontal="left"/>
      <protection/>
    </xf>
    <xf numFmtId="167" fontId="31" fillId="0" borderId="0" xfId="0" applyNumberFormat="1" applyFont="1" applyBorder="1" applyAlignment="1" applyProtection="1">
      <alignment/>
      <protection/>
    </xf>
    <xf numFmtId="167" fontId="32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167" fontId="10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4" fillId="0" borderId="0" xfId="63" applyFont="1" applyFill="1" applyBorder="1" applyAlignment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33" fillId="0" borderId="0" xfId="63" applyFont="1" applyFill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 applyProtection="1">
      <alignment horizontal="left" indent="5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3" fontId="20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Fill="1" applyAlignment="1" applyProtection="1">
      <alignment horizontal="right"/>
      <protection locked="0"/>
    </xf>
    <xf numFmtId="3" fontId="10" fillId="0" borderId="0" xfId="45" applyNumberFormat="1" applyFont="1" applyFill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35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 quotePrefix="1">
      <alignment horizontal="right"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2" fontId="2" fillId="0" borderId="0" xfId="0" applyNumberFormat="1" applyFont="1" applyFill="1" applyAlignment="1" applyProtection="1">
      <alignment horizontal="right"/>
      <protection locked="0"/>
    </xf>
    <xf numFmtId="0" fontId="10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3" fontId="10" fillId="0" borderId="19" xfId="45" applyNumberFormat="1" applyFont="1" applyBorder="1" applyAlignment="1" applyProtection="1">
      <alignment/>
      <protection locked="0"/>
    </xf>
    <xf numFmtId="3" fontId="10" fillId="0" borderId="19" xfId="45" applyNumberFormat="1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/>
      <protection locked="0"/>
    </xf>
    <xf numFmtId="1" fontId="10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 horizontal="right"/>
      <protection locked="0"/>
    </xf>
    <xf numFmtId="3" fontId="19" fillId="0" borderId="19" xfId="0" applyNumberFormat="1" applyFont="1" applyFill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1" fontId="10" fillId="0" borderId="19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0" fillId="0" borderId="0" xfId="0" applyNumberFormat="1" applyFont="1" applyBorder="1" applyAlignment="1">
      <alignment/>
    </xf>
    <xf numFmtId="165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 quotePrefix="1">
      <alignment horizontal="right"/>
    </xf>
    <xf numFmtId="1" fontId="10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/>
    </xf>
    <xf numFmtId="165" fontId="10" fillId="0" borderId="0" xfId="0" applyNumberFormat="1" applyFont="1" applyFill="1" applyAlignment="1">
      <alignment/>
    </xf>
    <xf numFmtId="3" fontId="19" fillId="0" borderId="0" xfId="0" applyNumberFormat="1" applyFont="1" applyBorder="1" applyAlignment="1">
      <alignment/>
    </xf>
    <xf numFmtId="164" fontId="10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164" fontId="19" fillId="0" borderId="2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/>
    </xf>
    <xf numFmtId="164" fontId="1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Fill="1" applyAlignment="1">
      <alignment vertical="center"/>
    </xf>
    <xf numFmtId="1" fontId="10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0" fillId="0" borderId="19" xfId="0" applyFont="1" applyBorder="1" applyAlignment="1">
      <alignment/>
    </xf>
    <xf numFmtId="3" fontId="19" fillId="0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 quotePrefix="1">
      <alignment horizontal="right"/>
    </xf>
    <xf numFmtId="0" fontId="4" fillId="0" borderId="18" xfId="0" applyFont="1" applyBorder="1" applyAlignment="1">
      <alignment horizontal="right"/>
    </xf>
    <xf numFmtId="0" fontId="10" fillId="0" borderId="0" xfId="0" applyFont="1" applyBorder="1" applyAlignment="1">
      <alignment horizontal="left" indent="2"/>
    </xf>
    <xf numFmtId="165" fontId="11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vertical="top"/>
    </xf>
    <xf numFmtId="0" fontId="4" fillId="0" borderId="19" xfId="0" applyFont="1" applyBorder="1" applyAlignment="1">
      <alignment vertical="center"/>
    </xf>
    <xf numFmtId="164" fontId="10" fillId="0" borderId="19" xfId="0" applyNumberFormat="1" applyFont="1" applyBorder="1" applyAlignment="1">
      <alignment/>
    </xf>
    <xf numFmtId="164" fontId="19" fillId="0" borderId="19" xfId="0" applyNumberFormat="1" applyFont="1" applyFill="1" applyBorder="1" applyAlignment="1">
      <alignment/>
    </xf>
    <xf numFmtId="164" fontId="19" fillId="0" borderId="19" xfId="45" applyNumberFormat="1" applyFont="1" applyFill="1" applyBorder="1" applyAlignment="1">
      <alignment/>
    </xf>
    <xf numFmtId="1" fontId="4" fillId="0" borderId="19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45" applyNumberFormat="1" applyFont="1" applyFill="1" applyAlignment="1">
      <alignment/>
    </xf>
    <xf numFmtId="164" fontId="28" fillId="0" borderId="0" xfId="45" applyNumberFormat="1" applyFont="1" applyFill="1" applyAlignment="1">
      <alignment/>
    </xf>
    <xf numFmtId="0" fontId="4" fillId="0" borderId="20" xfId="0" applyFont="1" applyBorder="1" applyAlignment="1">
      <alignment/>
    </xf>
    <xf numFmtId="165" fontId="19" fillId="0" borderId="19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5" fontId="10" fillId="0" borderId="0" xfId="0" applyNumberFormat="1" applyFont="1" applyFill="1" applyAlignment="1">
      <alignment horizontal="right"/>
    </xf>
    <xf numFmtId="170" fontId="10" fillId="0" borderId="0" xfId="45" applyNumberFormat="1" applyFont="1" applyFill="1" applyAlignment="1">
      <alignment/>
    </xf>
    <xf numFmtId="164" fontId="21" fillId="0" borderId="0" xfId="0" applyNumberFormat="1" applyFont="1" applyAlignment="1">
      <alignment vertical="center"/>
    </xf>
    <xf numFmtId="164" fontId="21" fillId="0" borderId="0" xfId="0" applyNumberFormat="1" applyFont="1" applyFill="1" applyAlignment="1">
      <alignment vertical="center"/>
    </xf>
    <xf numFmtId="165" fontId="10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 indent="1"/>
    </xf>
    <xf numFmtId="0" fontId="4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vertical="center"/>
    </xf>
    <xf numFmtId="164" fontId="10" fillId="0" borderId="19" xfId="0" applyNumberFormat="1" applyFont="1" applyBorder="1" applyAlignment="1">
      <alignment horizontal="right"/>
    </xf>
    <xf numFmtId="0" fontId="36" fillId="0" borderId="0" xfId="0" applyFont="1" applyAlignment="1">
      <alignment/>
    </xf>
    <xf numFmtId="164" fontId="10" fillId="0" borderId="0" xfId="0" applyNumberFormat="1" applyFont="1" applyFill="1" applyBorder="1" applyAlignment="1">
      <alignment/>
    </xf>
    <xf numFmtId="171" fontId="10" fillId="0" borderId="0" xfId="66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10" fillId="0" borderId="0" xfId="45" applyNumberFormat="1" applyFont="1" applyAlignment="1">
      <alignment/>
    </xf>
    <xf numFmtId="166" fontId="10" fillId="0" borderId="0" xfId="45" applyNumberFormat="1" applyFont="1" applyFill="1" applyAlignment="1">
      <alignment/>
    </xf>
    <xf numFmtId="166" fontId="10" fillId="0" borderId="0" xfId="45" applyNumberFormat="1" applyFont="1" applyFill="1" applyAlignment="1">
      <alignment horizontal="right"/>
    </xf>
    <xf numFmtId="166" fontId="10" fillId="0" borderId="0" xfId="45" applyNumberFormat="1" applyFont="1" applyBorder="1" applyAlignment="1">
      <alignment/>
    </xf>
    <xf numFmtId="166" fontId="10" fillId="0" borderId="0" xfId="45" applyNumberFormat="1" applyFont="1" applyFill="1" applyBorder="1" applyAlignment="1">
      <alignment/>
    </xf>
    <xf numFmtId="0" fontId="10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 quotePrefix="1">
      <alignment horizontal="right"/>
    </xf>
    <xf numFmtId="3" fontId="13" fillId="0" borderId="19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10" fillId="0" borderId="19" xfId="45" applyNumberFormat="1" applyFont="1" applyBorder="1" applyAlignment="1">
      <alignment/>
    </xf>
    <xf numFmtId="166" fontId="10" fillId="0" borderId="19" xfId="45" applyNumberFormat="1" applyFont="1" applyFill="1" applyBorder="1" applyAlignment="1">
      <alignment/>
    </xf>
    <xf numFmtId="166" fontId="10" fillId="0" borderId="19" xfId="45" applyNumberFormat="1" applyFont="1" applyFill="1" applyBorder="1" applyAlignment="1">
      <alignment horizontal="right"/>
    </xf>
    <xf numFmtId="166" fontId="0" fillId="0" borderId="0" xfId="45" applyNumberFormat="1" applyFont="1" applyBorder="1" applyAlignment="1">
      <alignment/>
    </xf>
    <xf numFmtId="166" fontId="0" fillId="0" borderId="0" xfId="45" applyNumberFormat="1" applyFont="1" applyFill="1" applyBorder="1" applyAlignment="1">
      <alignment/>
    </xf>
    <xf numFmtId="166" fontId="0" fillId="0" borderId="0" xfId="45" applyNumberFormat="1" applyFont="1" applyFill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0" xfId="45" applyNumberFormat="1" applyFont="1" applyFill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37" fillId="0" borderId="19" xfId="0" applyNumberFormat="1" applyFont="1" applyBorder="1" applyAlignment="1">
      <alignment horizontal="right"/>
    </xf>
    <xf numFmtId="3" fontId="37" fillId="0" borderId="19" xfId="0" applyNumberFormat="1" applyFont="1" applyBorder="1" applyAlignment="1">
      <alignment horizontal="right"/>
    </xf>
    <xf numFmtId="41" fontId="1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38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Alignment="1">
      <alignment horizontal="left" indent="1"/>
    </xf>
    <xf numFmtId="169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 applyProtection="1">
      <alignment/>
      <protection locked="0"/>
    </xf>
    <xf numFmtId="169" fontId="15" fillId="0" borderId="0" xfId="0" applyNumberFormat="1" applyFont="1" applyAlignment="1">
      <alignment horizontal="right"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0" fontId="39" fillId="0" borderId="0" xfId="0" applyFont="1" applyFill="1" applyAlignment="1" applyProtection="1">
      <alignment/>
      <protection locked="0"/>
    </xf>
    <xf numFmtId="3" fontId="15" fillId="0" borderId="0" xfId="0" applyNumberFormat="1" applyFont="1" applyAlignment="1" applyProtection="1">
      <alignment horizontal="justify" readingOrder="1"/>
      <protection locked="0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0" fillId="0" borderId="21" xfId="0" applyFont="1" applyFill="1" applyBorder="1" applyAlignment="1" applyProtection="1">
      <alignment horizontal="right"/>
      <protection locked="0"/>
    </xf>
    <xf numFmtId="3" fontId="10" fillId="0" borderId="21" xfId="0" applyNumberFormat="1" applyFont="1" applyFill="1" applyBorder="1" applyAlignment="1" applyProtection="1">
      <alignment horizontal="right"/>
      <protection locked="0"/>
    </xf>
    <xf numFmtId="0" fontId="33" fillId="0" borderId="0" xfId="62" applyFont="1" applyFill="1" applyBorder="1" applyAlignment="1">
      <alignment horizontal="left" wrapText="1"/>
      <protection/>
    </xf>
    <xf numFmtId="41" fontId="10" fillId="0" borderId="0" xfId="45" applyNumberFormat="1" applyFont="1" applyFill="1" applyAlignment="1" applyProtection="1">
      <alignment horizontal="right"/>
      <protection/>
    </xf>
    <xf numFmtId="3" fontId="19" fillId="0" borderId="0" xfId="45" applyNumberFormat="1" applyFont="1" applyFill="1" applyAlignment="1" applyProtection="1">
      <alignment horizontal="right"/>
      <protection/>
    </xf>
    <xf numFmtId="41" fontId="10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37" fillId="0" borderId="19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/>
    </xf>
    <xf numFmtId="167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Alignment="1">
      <alignment horizontal="right"/>
    </xf>
    <xf numFmtId="0" fontId="42" fillId="0" borderId="0" xfId="0" applyFont="1" applyAlignment="1">
      <alignment/>
    </xf>
    <xf numFmtId="0" fontId="16" fillId="0" borderId="0" xfId="0" applyFont="1" applyBorder="1" applyAlignment="1" applyProtection="1">
      <alignment/>
      <protection locked="0"/>
    </xf>
    <xf numFmtId="3" fontId="10" fillId="0" borderId="0" xfId="45" applyNumberFormat="1" applyFont="1" applyFill="1" applyAlignment="1" applyProtection="1">
      <alignment horizontal="right"/>
      <protection locked="0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0" fillId="0" borderId="22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3" fontId="15" fillId="0" borderId="0" xfId="0" applyNumberFormat="1" applyFont="1" applyFill="1" applyAlignment="1" applyProtection="1">
      <alignment/>
      <protection locked="0"/>
    </xf>
    <xf numFmtId="41" fontId="10" fillId="0" borderId="0" xfId="0" applyNumberFormat="1" applyFont="1" applyFill="1" applyAlignment="1">
      <alignment horizontal="right"/>
    </xf>
    <xf numFmtId="41" fontId="37" fillId="0" borderId="19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/>
    </xf>
    <xf numFmtId="167" fontId="37" fillId="0" borderId="0" xfId="0" applyNumberFormat="1" applyFont="1" applyFill="1" applyAlignment="1">
      <alignment/>
    </xf>
    <xf numFmtId="167" fontId="19" fillId="0" borderId="0" xfId="0" applyNumberFormat="1" applyFont="1" applyFill="1" applyAlignment="1">
      <alignment horizontal="right"/>
    </xf>
    <xf numFmtId="41" fontId="37" fillId="0" borderId="19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0" fillId="0" borderId="0" xfId="0" applyFont="1" applyAlignment="1">
      <alignment horizontal="left"/>
    </xf>
    <xf numFmtId="1" fontId="10" fillId="0" borderId="21" xfId="0" applyNumberFormat="1" applyFont="1" applyFill="1" applyBorder="1" applyAlignment="1">
      <alignment horizontal="right"/>
    </xf>
    <xf numFmtId="4" fontId="10" fillId="0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3" fontId="10" fillId="0" borderId="0" xfId="45" applyNumberFormat="1" applyFont="1" applyFill="1" applyBorder="1" applyAlignment="1" applyProtection="1">
      <alignment/>
      <protection locked="0"/>
    </xf>
    <xf numFmtId="3" fontId="10" fillId="0" borderId="0" xfId="45" applyNumberFormat="1" applyFont="1" applyFill="1" applyAlignment="1" applyProtection="1">
      <alignment/>
      <protection/>
    </xf>
    <xf numFmtId="0" fontId="10" fillId="0" borderId="19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2"/>
      <protection locked="0"/>
    </xf>
    <xf numFmtId="166" fontId="37" fillId="0" borderId="13" xfId="45" applyNumberFormat="1" applyFont="1" applyBorder="1" applyAlignment="1" applyProtection="1">
      <alignment horizontal="right"/>
      <protection/>
    </xf>
    <xf numFmtId="43" fontId="15" fillId="0" borderId="0" xfId="0" applyNumberFormat="1" applyFont="1" applyAlignment="1">
      <alignment horizontal="right"/>
    </xf>
    <xf numFmtId="3" fontId="49" fillId="0" borderId="0" xfId="0" applyNumberFormat="1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0" fillId="0" borderId="19" xfId="0" applyFont="1" applyFill="1" applyBorder="1" applyAlignment="1" applyProtection="1">
      <alignment horizontal="right"/>
      <protection locked="0"/>
    </xf>
    <xf numFmtId="3" fontId="10" fillId="0" borderId="21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 quotePrefix="1">
      <alignment/>
    </xf>
    <xf numFmtId="4" fontId="10" fillId="0" borderId="0" xfId="45" applyNumberFormat="1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2" fontId="73" fillId="0" borderId="0" xfId="0" applyNumberFormat="1" applyFont="1" applyAlignment="1" applyProtection="1">
      <alignment/>
      <protection/>
    </xf>
    <xf numFmtId="173" fontId="10" fillId="0" borderId="0" xfId="45" applyNumberFormat="1" applyFont="1" applyAlignment="1" applyProtection="1">
      <alignment/>
      <protection locked="0"/>
    </xf>
    <xf numFmtId="173" fontId="11" fillId="0" borderId="0" xfId="45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1" fontId="10" fillId="0" borderId="0" xfId="45" applyNumberFormat="1" applyFont="1" applyAlignment="1" applyProtection="1" quotePrefix="1">
      <alignment horizontal="right"/>
      <protection locked="0"/>
    </xf>
    <xf numFmtId="4" fontId="10" fillId="0" borderId="0" xfId="45" applyNumberFormat="1" applyFont="1" applyFill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4" fontId="12" fillId="0" borderId="16" xfId="0" applyNumberFormat="1" applyFont="1" applyBorder="1" applyAlignment="1" applyProtection="1">
      <alignment/>
      <protection locked="0"/>
    </xf>
    <xf numFmtId="4" fontId="12" fillId="0" borderId="0" xfId="0" applyNumberFormat="1" applyFont="1" applyBorder="1" applyAlignment="1" applyProtection="1">
      <alignment/>
      <protection locked="0"/>
    </xf>
    <xf numFmtId="2" fontId="10" fillId="0" borderId="16" xfId="0" applyNumberFormat="1" applyFont="1" applyFill="1" applyBorder="1" applyAlignment="1" applyProtection="1">
      <alignment/>
      <protection locked="0"/>
    </xf>
    <xf numFmtId="4" fontId="14" fillId="0" borderId="16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6" fontId="73" fillId="0" borderId="0" xfId="45" applyNumberFormat="1" applyFont="1" applyAlignment="1" applyProtection="1">
      <alignment/>
      <protection/>
    </xf>
    <xf numFmtId="1" fontId="73" fillId="0" borderId="0" xfId="0" applyNumberFormat="1" applyFont="1" applyAlignment="1" applyProtection="1">
      <alignment/>
      <protection/>
    </xf>
    <xf numFmtId="43" fontId="10" fillId="0" borderId="0" xfId="45" applyFont="1" applyAlignment="1" applyProtection="1" quotePrefix="1">
      <alignment horizontal="right"/>
      <protection locked="0"/>
    </xf>
    <xf numFmtId="3" fontId="10" fillId="0" borderId="0" xfId="45" applyNumberFormat="1" applyFont="1" applyBorder="1" applyAlignment="1" applyProtection="1">
      <alignment/>
      <protection locked="0"/>
    </xf>
    <xf numFmtId="3" fontId="12" fillId="0" borderId="0" xfId="45" applyNumberFormat="1" applyFont="1" applyBorder="1" applyAlignment="1" applyProtection="1">
      <alignment/>
      <protection locked="0"/>
    </xf>
    <xf numFmtId="2" fontId="10" fillId="0" borderId="17" xfId="0" applyNumberFormat="1" applyFont="1" applyFill="1" applyBorder="1" applyAlignment="1" applyProtection="1">
      <alignment/>
      <protection locked="0"/>
    </xf>
    <xf numFmtId="4" fontId="14" fillId="0" borderId="17" xfId="0" applyNumberFormat="1" applyFont="1" applyBorder="1" applyAlignment="1" applyProtection="1">
      <alignment/>
      <protection/>
    </xf>
    <xf numFmtId="3" fontId="10" fillId="0" borderId="16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 locked="0"/>
    </xf>
    <xf numFmtId="4" fontId="10" fillId="0" borderId="0" xfId="45" applyNumberFormat="1" applyFont="1" applyBorder="1" applyAlignment="1" applyProtection="1">
      <alignment/>
      <protection locked="0"/>
    </xf>
    <xf numFmtId="166" fontId="20" fillId="0" borderId="0" xfId="45" applyNumberFormat="1" applyFont="1" applyBorder="1" applyAlignment="1" applyProtection="1">
      <alignment/>
      <protection/>
    </xf>
    <xf numFmtId="4" fontId="10" fillId="0" borderId="16" xfId="45" applyNumberFormat="1" applyFont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Alignment="1" applyProtection="1">
      <alignment horizontal="right"/>
      <protection/>
    </xf>
    <xf numFmtId="3" fontId="10" fillId="0" borderId="0" xfId="0" applyNumberFormat="1" applyFont="1" applyFill="1" applyAlignment="1" applyProtection="1">
      <alignment/>
      <protection/>
    </xf>
    <xf numFmtId="3" fontId="20" fillId="0" borderId="0" xfId="0" applyNumberFormat="1" applyFont="1" applyFill="1" applyAlignment="1" applyProtection="1">
      <alignment/>
      <protection locked="0"/>
    </xf>
    <xf numFmtId="3" fontId="10" fillId="0" borderId="13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 quotePrefix="1">
      <alignment horizontal="right"/>
      <protection locked="0"/>
    </xf>
    <xf numFmtId="0" fontId="10" fillId="0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73" fillId="0" borderId="0" xfId="0" applyNumberFormat="1" applyFont="1" applyAlignment="1" applyProtection="1">
      <alignment/>
      <protection/>
    </xf>
    <xf numFmtId="3" fontId="10" fillId="0" borderId="13" xfId="0" applyNumberFormat="1" applyFont="1" applyBorder="1" applyAlignment="1">
      <alignment horizontal="right"/>
    </xf>
    <xf numFmtId="3" fontId="10" fillId="0" borderId="16" xfId="0" applyNumberFormat="1" applyFont="1" applyBorder="1" applyAlignment="1" applyProtection="1">
      <alignment/>
      <protection locked="0"/>
    </xf>
    <xf numFmtId="3" fontId="73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 horizontal="right"/>
      <protection locked="0"/>
    </xf>
    <xf numFmtId="3" fontId="10" fillId="0" borderId="19" xfId="0" applyNumberFormat="1" applyFont="1" applyBorder="1" applyAlignment="1" applyProtection="1">
      <alignment/>
      <protection locked="0"/>
    </xf>
    <xf numFmtId="3" fontId="10" fillId="0" borderId="23" xfId="0" applyNumberFormat="1" applyFont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" fontId="73" fillId="0" borderId="0" xfId="0" applyNumberFormat="1" applyFont="1" applyBorder="1" applyAlignment="1" applyProtection="1">
      <alignment/>
      <protection/>
    </xf>
    <xf numFmtId="173" fontId="10" fillId="0" borderId="0" xfId="45" applyNumberFormat="1" applyFont="1" applyAlignment="1" applyProtection="1" quotePrefix="1">
      <alignment horizontal="right"/>
      <protection locked="0"/>
    </xf>
    <xf numFmtId="0" fontId="10" fillId="0" borderId="0" xfId="0" applyFont="1" applyFill="1" applyAlignment="1" applyProtection="1" quotePrefix="1">
      <alignment horizontal="right"/>
      <protection locked="0"/>
    </xf>
    <xf numFmtId="0" fontId="12" fillId="0" borderId="13" xfId="0" applyFon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66" fontId="10" fillId="0" borderId="0" xfId="45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0" fillId="0" borderId="16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Continuous" vertical="center"/>
    </xf>
    <xf numFmtId="164" fontId="10" fillId="0" borderId="21" xfId="0" applyNumberFormat="1" applyFont="1" applyBorder="1" applyAlignment="1">
      <alignment/>
    </xf>
    <xf numFmtId="166" fontId="10" fillId="0" borderId="0" xfId="45" applyNumberFormat="1" applyFont="1" applyAlignment="1">
      <alignment/>
    </xf>
    <xf numFmtId="166" fontId="10" fillId="0" borderId="0" xfId="45" applyNumberFormat="1" applyFont="1" applyBorder="1" applyAlignment="1">
      <alignment/>
    </xf>
    <xf numFmtId="166" fontId="10" fillId="0" borderId="19" xfId="45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 quotePrefix="1">
      <alignment horizontal="right"/>
    </xf>
    <xf numFmtId="3" fontId="13" fillId="0" borderId="19" xfId="0" applyNumberFormat="1" applyFont="1" applyBorder="1" applyAlignment="1" quotePrefix="1">
      <alignment/>
    </xf>
    <xf numFmtId="0" fontId="4" fillId="0" borderId="18" xfId="0" applyFont="1" applyFill="1" applyBorder="1" applyAlignment="1" applyProtection="1">
      <alignment horizontal="right"/>
      <protection locked="0"/>
    </xf>
    <xf numFmtId="1" fontId="10" fillId="0" borderId="0" xfId="0" applyNumberFormat="1" applyFont="1" applyBorder="1" applyAlignment="1" applyProtection="1">
      <alignment/>
      <protection locked="0"/>
    </xf>
    <xf numFmtId="1" fontId="10" fillId="0" borderId="0" xfId="45" applyNumberFormat="1" applyFont="1" applyBorder="1" applyAlignment="1" applyProtection="1">
      <alignment/>
      <protection locked="0"/>
    </xf>
    <xf numFmtId="1" fontId="10" fillId="0" borderId="0" xfId="45" applyNumberFormat="1" applyFont="1" applyFill="1" applyBorder="1" applyAlignment="1" applyProtection="1">
      <alignment/>
      <protection locked="0"/>
    </xf>
    <xf numFmtId="3" fontId="10" fillId="0" borderId="0" xfId="45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74" fillId="0" borderId="0" xfId="0" applyNumberFormat="1" applyFont="1" applyBorder="1" applyAlignment="1">
      <alignment horizontal="right"/>
    </xf>
    <xf numFmtId="174" fontId="10" fillId="0" borderId="0" xfId="0" applyNumberFormat="1" applyFont="1" applyFill="1" applyAlignment="1">
      <alignment horizontal="right"/>
    </xf>
    <xf numFmtId="0" fontId="4" fillId="0" borderId="19" xfId="0" applyFont="1" applyFill="1" applyBorder="1" applyAlignment="1">
      <alignment/>
    </xf>
    <xf numFmtId="174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 horizontal="right"/>
    </xf>
    <xf numFmtId="174" fontId="37" fillId="0" borderId="19" xfId="0" applyNumberFormat="1" applyFont="1" applyFill="1" applyBorder="1" applyAlignment="1">
      <alignment horizontal="right"/>
    </xf>
    <xf numFmtId="174" fontId="37" fillId="0" borderId="0" xfId="0" applyNumberFormat="1" applyFont="1" applyFill="1" applyBorder="1" applyAlignment="1">
      <alignment horizontal="right"/>
    </xf>
    <xf numFmtId="174" fontId="37" fillId="0" borderId="0" xfId="0" applyNumberFormat="1" applyFont="1" applyFill="1" applyAlignment="1">
      <alignment horizontal="right"/>
    </xf>
    <xf numFmtId="164" fontId="37" fillId="0" borderId="0" xfId="0" applyNumberFormat="1" applyFont="1" applyBorder="1" applyAlignment="1">
      <alignment horizontal="right"/>
    </xf>
    <xf numFmtId="174" fontId="19" fillId="0" borderId="0" xfId="0" applyNumberFormat="1" applyFont="1" applyFill="1" applyAlignment="1">
      <alignment horizontal="right"/>
    </xf>
    <xf numFmtId="164" fontId="37" fillId="0" borderId="0" xfId="0" applyNumberFormat="1" applyFont="1" applyAlignment="1">
      <alignment/>
    </xf>
    <xf numFmtId="173" fontId="37" fillId="0" borderId="19" xfId="45" applyNumberFormat="1" applyFont="1" applyFill="1" applyBorder="1" applyAlignment="1">
      <alignment/>
    </xf>
    <xf numFmtId="0" fontId="75" fillId="0" borderId="0" xfId="0" applyFont="1" applyBorder="1" applyAlignment="1">
      <alignment/>
    </xf>
    <xf numFmtId="3" fontId="10" fillId="0" borderId="21" xfId="0" applyNumberFormat="1" applyFont="1" applyFill="1" applyBorder="1" applyAlignment="1">
      <alignment horizontal="right"/>
    </xf>
    <xf numFmtId="1" fontId="19" fillId="0" borderId="0" xfId="0" applyNumberFormat="1" applyFont="1" applyBorder="1" applyAlignment="1" applyProtection="1">
      <alignment/>
      <protection locked="0"/>
    </xf>
    <xf numFmtId="1" fontId="19" fillId="0" borderId="19" xfId="0" applyNumberFormat="1" applyFont="1" applyBorder="1" applyAlignment="1" applyProtection="1">
      <alignment/>
      <protection locked="0"/>
    </xf>
    <xf numFmtId="41" fontId="10" fillId="0" borderId="0" xfId="0" applyNumberFormat="1" applyFont="1" applyFill="1" applyAlignment="1" applyProtection="1">
      <alignment horizontal="right"/>
      <protection locked="0"/>
    </xf>
    <xf numFmtId="173" fontId="10" fillId="0" borderId="0" xfId="45" applyNumberFormat="1" applyFont="1" applyFill="1" applyAlignment="1">
      <alignment/>
    </xf>
    <xf numFmtId="164" fontId="10" fillId="0" borderId="19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174" fontId="10" fillId="0" borderId="0" xfId="0" applyNumberFormat="1" applyFont="1" applyBorder="1" applyAlignment="1" quotePrefix="1">
      <alignment horizontal="right"/>
    </xf>
    <xf numFmtId="174" fontId="10" fillId="0" borderId="0" xfId="0" applyNumberFormat="1" applyFont="1" applyFill="1" applyAlignment="1">
      <alignment/>
    </xf>
    <xf numFmtId="174" fontId="10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0" fontId="10" fillId="0" borderId="0" xfId="0" applyFont="1" applyAlignment="1">
      <alignment horizontal="left" indent="1"/>
    </xf>
    <xf numFmtId="17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174" fontId="0" fillId="0" borderId="0" xfId="0" applyNumberFormat="1" applyFont="1" applyFill="1" applyAlignment="1">
      <alignment/>
    </xf>
    <xf numFmtId="0" fontId="0" fillId="0" borderId="13" xfId="0" applyFont="1" applyBorder="1" applyAlignment="1">
      <alignment horizontal="left" indent="1"/>
    </xf>
    <xf numFmtId="165" fontId="0" fillId="0" borderId="13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0" applyFont="1" applyFill="1" applyAlignment="1">
      <alignment horizontal="left"/>
    </xf>
    <xf numFmtId="43" fontId="15" fillId="0" borderId="0" xfId="0" applyNumberFormat="1" applyFont="1" applyFill="1" applyAlignment="1">
      <alignment horizontal="right"/>
    </xf>
    <xf numFmtId="166" fontId="11" fillId="0" borderId="0" xfId="45" applyNumberFormat="1" applyFont="1" applyFill="1" applyAlignment="1">
      <alignment horizontal="right" vertical="center"/>
    </xf>
    <xf numFmtId="41" fontId="4" fillId="0" borderId="19" xfId="45" applyNumberFormat="1" applyFont="1" applyFill="1" applyBorder="1" applyAlignment="1">
      <alignment horizontal="right"/>
    </xf>
    <xf numFmtId="3" fontId="4" fillId="0" borderId="19" xfId="45" applyNumberFormat="1" applyFont="1" applyFill="1" applyBorder="1" applyAlignment="1" applyProtection="1">
      <alignment horizontal="right"/>
      <protection/>
    </xf>
    <xf numFmtId="3" fontId="4" fillId="0" borderId="19" xfId="45" applyNumberFormat="1" applyFont="1" applyBorder="1" applyAlignment="1" applyProtection="1">
      <alignment horizontal="right"/>
      <protection/>
    </xf>
    <xf numFmtId="3" fontId="37" fillId="0" borderId="19" xfId="0" applyNumberFormat="1" applyFont="1" applyBorder="1" applyAlignment="1">
      <alignment/>
    </xf>
    <xf numFmtId="165" fontId="28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41" fontId="19" fillId="0" borderId="0" xfId="0" applyNumberFormat="1" applyFont="1" applyFill="1" applyBorder="1" applyAlignment="1">
      <alignment horizontal="right"/>
    </xf>
    <xf numFmtId="0" fontId="1" fillId="0" borderId="18" xfId="0" applyFont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0" fontId="1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/>
      <protection locked="0"/>
    </xf>
    <xf numFmtId="164" fontId="28" fillId="0" borderId="0" xfId="0" applyNumberFormat="1" applyFont="1" applyBorder="1" applyAlignment="1" applyProtection="1">
      <alignment/>
      <protection locked="0"/>
    </xf>
    <xf numFmtId="164" fontId="28" fillId="0" borderId="0" xfId="0" applyNumberFormat="1" applyFont="1" applyAlignment="1">
      <alignment/>
    </xf>
    <xf numFmtId="164" fontId="28" fillId="0" borderId="0" xfId="0" applyNumberFormat="1" applyFont="1" applyAlignment="1">
      <alignment horizontal="right"/>
    </xf>
    <xf numFmtId="164" fontId="76" fillId="0" borderId="0" xfId="0" applyNumberFormat="1" applyFont="1" applyAlignment="1">
      <alignment/>
    </xf>
    <xf numFmtId="180" fontId="15" fillId="0" borderId="0" xfId="66" applyNumberFormat="1" applyFont="1" applyAlignment="1" applyProtection="1">
      <alignment/>
      <protection locked="0"/>
    </xf>
    <xf numFmtId="41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164" fontId="76" fillId="0" borderId="19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x indented GHG Textfiels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gblueCels_1x" xfId="40"/>
    <cellStyle name="Bad" xfId="41"/>
    <cellStyle name="Bold GHG Numbers (0.00)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Cells12_BBorder_CRFReport-template" xfId="58"/>
    <cellStyle name="Linked Cell" xfId="59"/>
    <cellStyle name="Neutral" xfId="60"/>
    <cellStyle name="Normal GHG-Shade" xfId="61"/>
    <cellStyle name="Normal_England" xfId="62"/>
    <cellStyle name="Normal_z" xfId="63"/>
    <cellStyle name="Note" xfId="64"/>
    <cellStyle name="Output" xfId="65"/>
    <cellStyle name="Percent" xfId="66"/>
    <cellStyle name="Refdb standard" xfId="67"/>
    <cellStyle name="Shade" xfId="68"/>
    <cellStyle name="Style 1" xfId="69"/>
    <cellStyle name="Title" xfId="70"/>
    <cellStyle name="Title - Style1" xfId="71"/>
    <cellStyle name="Total" xfId="72"/>
    <cellStyle name="Warning Text" xfId="73"/>
    <cellStyle name="Обычный_2++_CRFReport-templat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Passengers</a:t>
            </a:r>
          </a:p>
        </c:rich>
      </c:tx>
      <c:layout>
        <c:manualLayout>
          <c:xMode val="factor"/>
          <c:yMode val="factor"/>
          <c:x val="0.12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tx>
            <c:v>Pass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'Fig9.3'!$B$97:$B$120</c:f>
              <c:strCache/>
            </c:strRef>
          </c:cat>
          <c:val>
            <c:numRef>
              <c:f>'Fig9.3'!$D$97:$D$120</c:f>
              <c:numCache/>
            </c:numRef>
          </c:val>
        </c:ser>
        <c:axId val="57470199"/>
        <c:axId val="47469744"/>
      </c:barChart>
      <c:catAx>
        <c:axId val="57470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9744"/>
        <c:crosses val="autoZero"/>
        <c:auto val="1"/>
        <c:lblOffset val="100"/>
        <c:tickLblSkip val="1"/>
        <c:noMultiLvlLbl val="0"/>
      </c:catAx>
      <c:valAx>
        <c:axId val="47469744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0199"/>
        <c:crossesAt val="1"/>
        <c:crossBetween val="between"/>
        <c:dispUnits/>
        <c:majorUnit val="400"/>
        <c:minorUnit val="1.6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Cars</a:t>
            </a:r>
          </a:p>
        </c:rich>
      </c:tx>
      <c:layout>
        <c:manualLayout>
          <c:xMode val="factor"/>
          <c:yMode val="factor"/>
          <c:x val="-0.0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6875"/>
          <c:w val="0.9482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tx>
            <c:v>Car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'Fig9.3'!$B$97:$B$109</c:f>
              <c:strCache/>
            </c:strRef>
          </c:cat>
          <c:val>
            <c:numRef>
              <c:f>'Fig9.3'!$E$97:$E$120</c:f>
              <c:numCache/>
            </c:numRef>
          </c:val>
        </c:ser>
        <c:axId val="24574513"/>
        <c:axId val="19844026"/>
      </c:barChart>
      <c:catAx>
        <c:axId val="24574513"/>
        <c:scaling>
          <c:orientation val="minMax"/>
        </c:scaling>
        <c:axPos val="l"/>
        <c:delete val="1"/>
        <c:majorTickMark val="out"/>
        <c:minorTickMark val="none"/>
        <c:tickLblPos val="nextTo"/>
        <c:crossAx val="19844026"/>
        <c:crosses val="autoZero"/>
        <c:auto val="1"/>
        <c:lblOffset val="100"/>
        <c:tickLblSkip val="1"/>
        <c:noMultiLvlLbl val="0"/>
      </c:catAx>
      <c:valAx>
        <c:axId val="1984402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4513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Commercial Vehicles and buses</a:t>
            </a:r>
          </a:p>
        </c:rich>
      </c:tx>
      <c:layout>
        <c:manualLayout>
          <c:xMode val="factor"/>
          <c:yMode val="factor"/>
          <c:x val="-0.01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06275"/>
          <c:w val="0.851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Comveh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'Fig9.3'!$B$97:$B$109</c:f>
              <c:strCache/>
            </c:strRef>
          </c:cat>
          <c:val>
            <c:numRef>
              <c:f>'Fig9.3'!$F$97:$F$120</c:f>
              <c:numCache/>
            </c:numRef>
          </c:val>
        </c:ser>
        <c:axId val="44378507"/>
        <c:axId val="63862244"/>
      </c:barChart>
      <c:catAx>
        <c:axId val="44378507"/>
        <c:scaling>
          <c:orientation val="minMax"/>
        </c:scaling>
        <c:axPos val="l"/>
        <c:delete val="1"/>
        <c:majorTickMark val="out"/>
        <c:minorTickMark val="none"/>
        <c:tickLblPos val="nextTo"/>
        <c:crossAx val="63862244"/>
        <c:crosses val="autoZero"/>
        <c:auto val="1"/>
        <c:lblOffset val="100"/>
        <c:tickLblSkip val="1"/>
        <c:noMultiLvlLbl val="0"/>
      </c:catAx>
      <c:valAx>
        <c:axId val="6386224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8507"/>
        <c:crossesAt val="1"/>
        <c:crossBetween val="between"/>
        <c:dispUnits/>
        <c:majorUnit val="1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9.5</a:t>
            </a:r>
            <a:r>
              <a: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Top passenger ferry routes within and to/from Scotland, 2011
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875"/>
          <c:w val="0.974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'fig9.5&amp;6'!$A$3:$A$12</c:f>
              <c:strCache/>
            </c:strRef>
          </c:cat>
          <c:val>
            <c:numRef>
              <c:f>'fig9.5&amp;6'!$B$3:$B$12</c:f>
              <c:numCache/>
            </c:numRef>
          </c:val>
        </c:ser>
        <c:axId val="37889285"/>
        <c:axId val="5459246"/>
      </c:barChart>
      <c:catAx>
        <c:axId val="37889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246"/>
        <c:crosses val="autoZero"/>
        <c:auto val="1"/>
        <c:lblOffset val="100"/>
        <c:tickLblSkip val="1"/>
        <c:noMultiLvlLbl val="0"/>
      </c:catAx>
      <c:valAx>
        <c:axId val="5459246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passengers (000's)</a:t>
                </a:r>
              </a:p>
            </c:rich>
          </c:tx>
          <c:layout>
            <c:manualLayout>
              <c:xMode val="factor"/>
              <c:yMode val="factor"/>
              <c:x val="0.05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89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9.6</a:t>
            </a:r>
            <a:r>
              <a: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Top car ferry routes within and to/from Scotland, 2011
</a:t>
            </a: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715"/>
          <c:w val="0.975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tx>
            <c:v>Cars</c:v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'fig9.5&amp;6'!$F$3:$F$12</c:f>
              <c:strCache/>
            </c:strRef>
          </c:cat>
          <c:val>
            <c:numRef>
              <c:f>'fig9.5&amp;6'!$G$3:$G$12</c:f>
              <c:numCache/>
            </c:numRef>
          </c:val>
        </c:ser>
        <c:axId val="49133215"/>
        <c:axId val="39545752"/>
      </c:barChart>
      <c:catAx>
        <c:axId val="49133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5752"/>
        <c:crosses val="autoZero"/>
        <c:auto val="1"/>
        <c:lblOffset val="100"/>
        <c:tickLblSkip val="1"/>
        <c:noMultiLvlLbl val="0"/>
      </c:catAx>
      <c:valAx>
        <c:axId val="3954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cars (000's)</a:t>
                </a:r>
              </a:p>
            </c:rich>
          </c:tx>
          <c:layout>
            <c:manualLayout>
              <c:xMode val="factor"/>
              <c:yMode val="factor"/>
              <c:x val="0.03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33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0.62825</cdr:y>
    </cdr:from>
    <cdr:to>
      <cdr:x>0.00175</cdr:x>
      <cdr:y>0.62825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991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Clyde</a:t>
          </a:r>
        </a:p>
      </cdr:txBody>
    </cdr:sp>
  </cdr:relSizeAnchor>
  <cdr:relSizeAnchor xmlns:cdr="http://schemas.openxmlformats.org/drawingml/2006/chartDrawing">
    <cdr:from>
      <cdr:x>0.00475</cdr:x>
      <cdr:y>0</cdr:y>
    </cdr:from>
    <cdr:to>
      <cdr:x>0.12775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0"/>
          <a:ext cx="5334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Clyde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7</xdr:col>
      <xdr:colOff>504825</xdr:colOff>
      <xdr:row>93</xdr:row>
      <xdr:rowOff>0</xdr:rowOff>
    </xdr:to>
    <xdr:graphicFrame>
      <xdr:nvGraphicFramePr>
        <xdr:cNvPr id="1" name="Chart 1025"/>
        <xdr:cNvGraphicFramePr/>
      </xdr:nvGraphicFramePr>
      <xdr:xfrm>
        <a:off x="0" y="847725"/>
        <a:ext cx="4343400" cy="1431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4</xdr:row>
      <xdr:rowOff>76200</xdr:rowOff>
    </xdr:from>
    <xdr:to>
      <xdr:col>12</xdr:col>
      <xdr:colOff>390525</xdr:colOff>
      <xdr:row>93</xdr:row>
      <xdr:rowOff>9525</xdr:rowOff>
    </xdr:to>
    <xdr:graphicFrame>
      <xdr:nvGraphicFramePr>
        <xdr:cNvPr id="2" name="Chart 1026"/>
        <xdr:cNvGraphicFramePr/>
      </xdr:nvGraphicFramePr>
      <xdr:xfrm>
        <a:off x="4362450" y="828675"/>
        <a:ext cx="2886075" cy="1434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390525</xdr:colOff>
      <xdr:row>4</xdr:row>
      <xdr:rowOff>76200</xdr:rowOff>
    </xdr:from>
    <xdr:to>
      <xdr:col>17</xdr:col>
      <xdr:colOff>333375</xdr:colOff>
      <xdr:row>93</xdr:row>
      <xdr:rowOff>57150</xdr:rowOff>
    </xdr:to>
    <xdr:graphicFrame>
      <xdr:nvGraphicFramePr>
        <xdr:cNvPr id="3" name="Chart 1027"/>
        <xdr:cNvGraphicFramePr/>
      </xdr:nvGraphicFramePr>
      <xdr:xfrm>
        <a:off x="7248525" y="828675"/>
        <a:ext cx="2790825" cy="1439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419100</xdr:colOff>
      <xdr:row>49</xdr:row>
      <xdr:rowOff>38100</xdr:rowOff>
    </xdr:from>
    <xdr:ext cx="85725" cy="200025"/>
    <xdr:sp fLocksText="0">
      <xdr:nvSpPr>
        <xdr:cNvPr id="4" name="Text Box 1031"/>
        <xdr:cNvSpPr txBox="1">
          <a:spLocks noChangeArrowheads="1"/>
        </xdr:cNvSpPr>
      </xdr:nvSpPr>
      <xdr:spPr>
        <a:xfrm>
          <a:off x="504825" y="8077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42</xdr:row>
      <xdr:rowOff>76200</xdr:rowOff>
    </xdr:from>
    <xdr:ext cx="466725" cy="447675"/>
    <xdr:sp>
      <xdr:nvSpPr>
        <xdr:cNvPr id="5" name="Text Box 1033"/>
        <xdr:cNvSpPr txBox="1">
          <a:spLocks noChangeArrowheads="1"/>
        </xdr:cNvSpPr>
      </xdr:nvSpPr>
      <xdr:spPr>
        <a:xfrm>
          <a:off x="314325" y="6981825"/>
          <a:ext cx="466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Coast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20</xdr:row>
      <xdr:rowOff>19050</xdr:rowOff>
    </xdr:from>
    <xdr:to>
      <xdr:col>9</xdr:col>
      <xdr:colOff>600075</xdr:colOff>
      <xdr:row>58</xdr:row>
      <xdr:rowOff>9525</xdr:rowOff>
    </xdr:to>
    <xdr:graphicFrame>
      <xdr:nvGraphicFramePr>
        <xdr:cNvPr id="1" name="Chart 3"/>
        <xdr:cNvGraphicFramePr/>
      </xdr:nvGraphicFramePr>
      <xdr:xfrm>
        <a:off x="628650" y="3819525"/>
        <a:ext cx="80581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63</xdr:row>
      <xdr:rowOff>0</xdr:rowOff>
    </xdr:from>
    <xdr:to>
      <xdr:col>9</xdr:col>
      <xdr:colOff>533400</xdr:colOff>
      <xdr:row>100</xdr:row>
      <xdr:rowOff>9525</xdr:rowOff>
    </xdr:to>
    <xdr:graphicFrame>
      <xdr:nvGraphicFramePr>
        <xdr:cNvPr id="2" name="Chart 4"/>
        <xdr:cNvGraphicFramePr/>
      </xdr:nvGraphicFramePr>
      <xdr:xfrm>
        <a:off x="676275" y="10782300"/>
        <a:ext cx="794385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ssets.dft.gov.uk/MS%20Reports\Ms_rep10\Tabs\Tabs%203\Working%20files%202010%20data%20Tabs%203\PORT0303,4,5,6,7%202010%20Work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aritime%20Statistics%202004\web\Passengers\TSGB05_MS04%20Passenge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SGB\2006%20FINAL%20PROOFS\Chapter%205\DfT%20WEB%20FINAL\TSGB%205_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IS\ADMIN\TABLETM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Publications\RoRo%20Q2_2005\Bulletin205draf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IRHS\EXCEL\RORO\bulletins\2003\SA%20Changes\SA%20Changes%20to%20bulletin%20-%20draf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ssets.dft.gov.uk/MS%20Reports\Ms_rep09\Tabs%2009\Pub%20tables\Tab4_3pub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0301"/>
      <sheetName val="PORT0304_(a)"/>
      <sheetName val="PORT0304_(b)"/>
      <sheetName val="TAB39A"/>
      <sheetName val="TAB39B"/>
      <sheetName val="Tab310a"/>
      <sheetName val="Tab310b"/>
      <sheetName val="Minor ports units"/>
      <sheetName val="PORT0306 (3.11) "/>
      <sheetName val="PORT0307 (3.12)"/>
      <sheetName val="Top 20 EU ports tonnage 2009"/>
      <sheetName val="Top 20 EU ports TEU 2009"/>
      <sheetName val="Alpabetical list"/>
      <sheetName val="SPAS0101"/>
      <sheetName val="PORT0305 (3.10)OLD"/>
      <sheetName val="PORT0305 (3.10)"/>
      <sheetName val="PORT0303"/>
      <sheetName val="PORT0303_F (3.9)"/>
      <sheetName val="PORT0303_F_OLD (3.9)"/>
      <sheetName val="PORT0305 (3.10)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titles"/>
      <sheetName val="TSGB 5.6 - MS 3.5 (Recent)"/>
      <sheetName val="TSGB 5.6 - MS 3.5 (Historic)"/>
      <sheetName val="TSGB 5.7 - MS 3.4 (Recent)"/>
      <sheetName val="TSGB 5.7 - MS 3.4 (Historic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RAWDATA"/>
      <sheetName val="TAB31"/>
      <sheetName val="RAWDATAOLD"/>
      <sheetName val="Selecto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TMP"/>
    </sheetNames>
    <definedNames>
      <definedName name="Dialog"/>
      <definedName name="selxx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arySA"/>
      <sheetName val="TABLE1a"/>
      <sheetName val="TABLE1b"/>
      <sheetName val="TABLE2"/>
      <sheetName val="TABLE2cont.."/>
      <sheetName val="TABLE3"/>
      <sheetName val="TABLE3a"/>
      <sheetName val="TABLE3b"/>
      <sheetName val="TABLE4AL"/>
      <sheetName val="TABLE4a"/>
      <sheetName val="TABLE4b"/>
      <sheetName val="TABLE5"/>
      <sheetName val="Routes"/>
      <sheetName val="FiguresSA -do not print"/>
    </sheetNames>
    <sheetDataSet>
      <sheetData sheetId="1">
        <row r="8">
          <cell r="E8">
            <v>338.987</v>
          </cell>
          <cell r="M8">
            <v>583.884</v>
          </cell>
        </row>
        <row r="9">
          <cell r="E9">
            <v>360.2</v>
          </cell>
          <cell r="M9">
            <v>601.2</v>
          </cell>
        </row>
        <row r="10">
          <cell r="E10">
            <v>373.7</v>
          </cell>
          <cell r="M10">
            <v>629.3</v>
          </cell>
        </row>
        <row r="11">
          <cell r="E11">
            <v>398</v>
          </cell>
          <cell r="M11">
            <v>539.4</v>
          </cell>
        </row>
        <row r="12">
          <cell r="E12">
            <v>453.1</v>
          </cell>
          <cell r="M12">
            <v>701.6</v>
          </cell>
        </row>
        <row r="13">
          <cell r="E13">
            <v>486</v>
          </cell>
          <cell r="M13">
            <v>677.4</v>
          </cell>
        </row>
        <row r="14">
          <cell r="E14">
            <v>531.083</v>
          </cell>
          <cell r="M14">
            <v>626.409</v>
          </cell>
        </row>
      </sheetData>
      <sheetData sheetId="8">
        <row r="6">
          <cell r="B6">
            <v>577.402</v>
          </cell>
          <cell r="D6">
            <v>582.448</v>
          </cell>
          <cell r="F6">
            <v>147.711</v>
          </cell>
        </row>
        <row r="7">
          <cell r="B7">
            <v>589.8</v>
          </cell>
          <cell r="D7">
            <v>589.5</v>
          </cell>
          <cell r="F7">
            <v>147.3</v>
          </cell>
        </row>
        <row r="8">
          <cell r="B8">
            <v>596.8</v>
          </cell>
          <cell r="D8">
            <v>630.9</v>
          </cell>
          <cell r="F8">
            <v>171.5</v>
          </cell>
        </row>
        <row r="9">
          <cell r="B9">
            <v>552.9</v>
          </cell>
          <cell r="D9">
            <v>662.8</v>
          </cell>
          <cell r="F9">
            <v>173.9</v>
          </cell>
        </row>
        <row r="10">
          <cell r="B10">
            <v>620.3</v>
          </cell>
          <cell r="D10">
            <v>751.1</v>
          </cell>
          <cell r="F10">
            <v>226.7</v>
          </cell>
        </row>
        <row r="11">
          <cell r="B11">
            <v>611.2</v>
          </cell>
          <cell r="D11">
            <v>816.4</v>
          </cell>
          <cell r="F11">
            <v>200</v>
          </cell>
        </row>
        <row r="12">
          <cell r="B12">
            <v>581.864</v>
          </cell>
          <cell r="D12">
            <v>873.728</v>
          </cell>
          <cell r="F12">
            <v>188.54199999999997</v>
          </cell>
        </row>
      </sheetData>
      <sheetData sheetId="11">
        <row r="6">
          <cell r="B6">
            <v>205.354</v>
          </cell>
          <cell r="D6">
            <v>97.812</v>
          </cell>
          <cell r="F6">
            <v>32.857</v>
          </cell>
          <cell r="J6">
            <v>1.86</v>
          </cell>
        </row>
        <row r="7">
          <cell r="B7">
            <v>228.5</v>
          </cell>
          <cell r="D7">
            <v>96.4</v>
          </cell>
          <cell r="F7">
            <v>33.2</v>
          </cell>
          <cell r="J7">
            <v>1.4</v>
          </cell>
        </row>
        <row r="8">
          <cell r="B8">
            <v>241</v>
          </cell>
          <cell r="D8">
            <v>96.6</v>
          </cell>
          <cell r="F8">
            <v>34</v>
          </cell>
          <cell r="J8">
            <v>1.5</v>
          </cell>
        </row>
        <row r="9">
          <cell r="B9">
            <v>271.3</v>
          </cell>
          <cell r="D9">
            <v>86.2</v>
          </cell>
          <cell r="F9">
            <v>38.8</v>
          </cell>
          <cell r="J9">
            <v>1.2</v>
          </cell>
        </row>
        <row r="10">
          <cell r="B10">
            <v>332.9</v>
          </cell>
          <cell r="D10">
            <v>77.2</v>
          </cell>
          <cell r="F10">
            <v>39.3</v>
          </cell>
          <cell r="J10">
            <v>3.5</v>
          </cell>
        </row>
        <row r="11">
          <cell r="B11">
            <v>368</v>
          </cell>
          <cell r="D11">
            <v>73.5</v>
          </cell>
          <cell r="F11">
            <v>41.7</v>
          </cell>
          <cell r="J11">
            <v>2.5</v>
          </cell>
        </row>
        <row r="12">
          <cell r="B12">
            <v>401.9</v>
          </cell>
          <cell r="D12">
            <v>80.2</v>
          </cell>
          <cell r="F12">
            <v>45.9</v>
          </cell>
          <cell r="J12">
            <v>2.8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mentarySA"/>
      <sheetName val="TABLE1a"/>
      <sheetName val="TABLE1b"/>
      <sheetName val="TABLE2"/>
      <sheetName val="TABLE3"/>
      <sheetName val="TABLE3a"/>
      <sheetName val="TABLE3b"/>
      <sheetName val="TABLE4AL"/>
      <sheetName val="TABLE4a"/>
      <sheetName val="TABLE4b"/>
      <sheetName val="TABLE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3.5" thickBot="1">
      <c r="A1" s="19">
        <v>999</v>
      </c>
      <c r="B1" s="20" t="s">
        <v>231</v>
      </c>
    </row>
    <row r="2" ht="12.75">
      <c r="B2" s="21" t="s">
        <v>232</v>
      </c>
    </row>
    <row r="3" ht="12.75">
      <c r="B3" t="s">
        <v>259</v>
      </c>
    </row>
    <row r="4" ht="12.75">
      <c r="B4" t="s">
        <v>233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6.7109375" style="180" customWidth="1"/>
    <col min="2" max="2" width="13.140625" style="180" customWidth="1"/>
    <col min="3" max="3" width="14.140625" style="180" customWidth="1"/>
    <col min="4" max="4" width="11.28125" style="180" customWidth="1"/>
    <col min="5" max="5" width="3.57421875" style="180" customWidth="1"/>
    <col min="6" max="6" width="11.8515625" style="180" customWidth="1"/>
    <col min="7" max="7" width="14.421875" style="180" customWidth="1"/>
    <col min="8" max="8" width="11.421875" style="180" customWidth="1"/>
    <col min="9" max="9" width="3.7109375" style="180" customWidth="1"/>
    <col min="10" max="10" width="13.57421875" style="180" customWidth="1"/>
    <col min="11" max="11" width="15.421875" style="180" customWidth="1"/>
    <col min="12" max="12" width="11.57421875" style="180" customWidth="1"/>
    <col min="13" max="13" width="7.00390625" style="180" customWidth="1"/>
    <col min="14" max="14" width="34.7109375" style="180" customWidth="1"/>
    <col min="15" max="16384" width="9.140625" style="180" customWidth="1"/>
  </cols>
  <sheetData>
    <row r="1" ht="23.25">
      <c r="K1" s="543" t="s">
        <v>39</v>
      </c>
    </row>
    <row r="2" s="25" customFormat="1" ht="19.5">
      <c r="A2" s="535" t="s">
        <v>7</v>
      </c>
    </row>
    <row r="3" spans="1:2" s="25" customFormat="1" ht="15.75">
      <c r="A3" s="2"/>
      <c r="B3" s="2"/>
    </row>
    <row r="4" spans="1:12" s="25" customFormat="1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2" customFormat="1" ht="15.75">
      <c r="A5" s="306"/>
      <c r="B5" s="307"/>
      <c r="C5" s="292" t="s">
        <v>339</v>
      </c>
      <c r="D5" s="307"/>
      <c r="E5" s="306"/>
      <c r="F5" s="307"/>
      <c r="G5" s="292" t="s">
        <v>384</v>
      </c>
      <c r="H5" s="307"/>
      <c r="I5" s="306"/>
      <c r="J5" s="307"/>
      <c r="K5" s="292" t="s">
        <v>385</v>
      </c>
      <c r="L5" s="307"/>
    </row>
    <row r="6" spans="1:12" s="25" customFormat="1" ht="15.75">
      <c r="A6" s="308" t="s">
        <v>378</v>
      </c>
      <c r="B6" s="326" t="s">
        <v>377</v>
      </c>
      <c r="C6" s="326" t="s">
        <v>170</v>
      </c>
      <c r="D6" s="326" t="s">
        <v>381</v>
      </c>
      <c r="E6" s="326"/>
      <c r="F6" s="326" t="s">
        <v>377</v>
      </c>
      <c r="G6" s="326" t="s">
        <v>170</v>
      </c>
      <c r="H6" s="326" t="s">
        <v>381</v>
      </c>
      <c r="I6" s="326"/>
      <c r="J6" s="326" t="s">
        <v>377</v>
      </c>
      <c r="K6" s="326" t="s">
        <v>170</v>
      </c>
      <c r="L6" s="326" t="s">
        <v>381</v>
      </c>
    </row>
    <row r="7" spans="1:12" s="25" customFormat="1" ht="15.75">
      <c r="A7" s="309" t="s">
        <v>376</v>
      </c>
      <c r="B7" s="327" t="s">
        <v>379</v>
      </c>
      <c r="C7" s="327" t="s">
        <v>380</v>
      </c>
      <c r="D7" s="327" t="s">
        <v>382</v>
      </c>
      <c r="E7" s="327"/>
      <c r="F7" s="327" t="s">
        <v>379</v>
      </c>
      <c r="G7" s="327" t="s">
        <v>383</v>
      </c>
      <c r="H7" s="327" t="s">
        <v>382</v>
      </c>
      <c r="I7" s="327"/>
      <c r="J7" s="327" t="s">
        <v>379</v>
      </c>
      <c r="K7" s="327" t="s">
        <v>380</v>
      </c>
      <c r="L7" s="327" t="s">
        <v>382</v>
      </c>
    </row>
    <row r="8" s="25" customFormat="1" ht="15">
      <c r="L8" s="335" t="s">
        <v>133</v>
      </c>
    </row>
    <row r="9" spans="1:12" ht="15.75">
      <c r="A9" s="2" t="s">
        <v>596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9" ht="15.75">
      <c r="A10" s="33" t="s">
        <v>340</v>
      </c>
      <c r="B10" s="516">
        <v>55.815</v>
      </c>
      <c r="C10" s="516">
        <v>689.979</v>
      </c>
      <c r="D10" s="517">
        <f aca="true" t="shared" si="0" ref="D10:D26">SUM(B10:C10)</f>
        <v>745.7940000000001</v>
      </c>
      <c r="E10" s="516"/>
      <c r="F10" s="516">
        <v>403.936</v>
      </c>
      <c r="G10" s="516">
        <v>231.835</v>
      </c>
      <c r="H10" s="517">
        <f aca="true" t="shared" si="1" ref="H10:H26">SUM(F10:G10)</f>
        <v>635.771</v>
      </c>
      <c r="I10" s="233"/>
      <c r="J10" s="487">
        <f>'T9.8'!B10+'T9.8'!F10+'T9.8'!J10+'T9.8 (continued)'!B10+F10</f>
        <v>581.852</v>
      </c>
      <c r="K10" s="487">
        <f>'T9.8'!C10+'T9.8'!G10+'T9.8'!K10+'T9.8 (continued)'!C10+G10</f>
        <v>2712.967</v>
      </c>
      <c r="L10" s="487">
        <f>'T9.8'!D10+'T9.8'!H10+'T9.8'!L10+'T9.8 (continued)'!D10+H10</f>
        <v>3294.8189999999995</v>
      </c>
      <c r="M10" s="313"/>
      <c r="N10" s="695"/>
      <c r="O10" s="314"/>
      <c r="Q10" s="313"/>
      <c r="S10" s="313"/>
    </row>
    <row r="11" spans="1:19" ht="15.75">
      <c r="A11" s="33" t="s">
        <v>341</v>
      </c>
      <c r="B11" s="516">
        <v>0.037</v>
      </c>
      <c r="C11" s="516">
        <v>0</v>
      </c>
      <c r="D11" s="517">
        <f t="shared" si="0"/>
        <v>0.037</v>
      </c>
      <c r="E11" s="516"/>
      <c r="F11" s="516">
        <v>0</v>
      </c>
      <c r="G11" s="516">
        <v>0</v>
      </c>
      <c r="H11" s="517">
        <f t="shared" si="1"/>
        <v>0</v>
      </c>
      <c r="I11" s="233"/>
      <c r="J11" s="487">
        <f>'T9.8'!B11+'T9.8'!F11+'T9.8'!J11+'T9.8 (continued)'!B11+F11</f>
        <v>575.2330000000001</v>
      </c>
      <c r="K11" s="487">
        <f>'T9.8'!C11+'T9.8'!G11+'T9.8'!K11+'T9.8 (continued)'!C11+G11</f>
        <v>880.413</v>
      </c>
      <c r="L11" s="487">
        <f>'T9.8'!D11+'T9.8'!H11+'T9.8'!L11+'T9.8 (continued)'!D11+H11</f>
        <v>1455.6460000000002</v>
      </c>
      <c r="M11" s="313"/>
      <c r="N11"/>
      <c r="O11" s="314"/>
      <c r="Q11" s="313"/>
      <c r="S11" s="313"/>
    </row>
    <row r="12" spans="1:19" ht="15.75">
      <c r="A12" s="33" t="s">
        <v>351</v>
      </c>
      <c r="B12" s="516">
        <v>0</v>
      </c>
      <c r="C12" s="516">
        <v>0</v>
      </c>
      <c r="D12" s="517">
        <f t="shared" si="0"/>
        <v>0</v>
      </c>
      <c r="E12" s="516"/>
      <c r="F12" s="516">
        <v>0</v>
      </c>
      <c r="G12" s="516">
        <v>0</v>
      </c>
      <c r="H12" s="517">
        <f t="shared" si="1"/>
        <v>0</v>
      </c>
      <c r="I12" s="516"/>
      <c r="J12" s="487">
        <f>'T9.8'!B12+'T9.8'!F12+'T9.8'!J12+'T9.8 (continued)'!B12+F12</f>
        <v>12.075</v>
      </c>
      <c r="K12" s="487">
        <f>'T9.8'!C12+'T9.8'!G12+'T9.8'!K12+'T9.8 (continued)'!C12+G12</f>
        <v>0</v>
      </c>
      <c r="L12" s="487">
        <f>'T9.8'!D12+'T9.8'!H12+'T9.8'!L12+'T9.8 (continued)'!D12+H12</f>
        <v>12.075</v>
      </c>
      <c r="M12" s="313"/>
      <c r="N12"/>
      <c r="O12" s="314"/>
      <c r="Q12" s="313"/>
      <c r="S12" s="313"/>
    </row>
    <row r="13" spans="1:19" ht="15.75">
      <c r="A13" s="33" t="s">
        <v>650</v>
      </c>
      <c r="B13" s="516">
        <v>0.575</v>
      </c>
      <c r="C13" s="516">
        <v>0</v>
      </c>
      <c r="D13" s="517">
        <f t="shared" si="0"/>
        <v>0.575</v>
      </c>
      <c r="E13" s="516"/>
      <c r="F13" s="516">
        <v>0</v>
      </c>
      <c r="G13" s="516">
        <v>0</v>
      </c>
      <c r="H13" s="517">
        <f t="shared" si="1"/>
        <v>0</v>
      </c>
      <c r="I13" s="516"/>
      <c r="J13" s="487">
        <f>'T9.8'!B13+'T9.8'!F13+'T9.8'!J13+'T9.8 (continued)'!B13+F13</f>
        <v>3.7409999999999997</v>
      </c>
      <c r="K13" s="487">
        <f>'T9.8'!C13+'T9.8'!G13+'T9.8'!K13+'T9.8 (continued)'!C13+G13</f>
        <v>0.715</v>
      </c>
      <c r="L13" s="487">
        <f>'T9.8'!D13+'T9.8'!H13+'T9.8'!L13+'T9.8 (continued)'!D13+H13</f>
        <v>4.4559999999999995</v>
      </c>
      <c r="M13" s="313"/>
      <c r="N13"/>
      <c r="O13" s="314"/>
      <c r="Q13" s="313"/>
      <c r="S13" s="313"/>
    </row>
    <row r="14" spans="1:19" ht="15.75">
      <c r="A14" s="33" t="s">
        <v>342</v>
      </c>
      <c r="B14" s="516">
        <v>0.019</v>
      </c>
      <c r="C14" s="516">
        <v>0</v>
      </c>
      <c r="D14" s="517">
        <f t="shared" si="0"/>
        <v>0.019</v>
      </c>
      <c r="E14" s="516"/>
      <c r="F14" s="516">
        <v>0</v>
      </c>
      <c r="G14" s="516">
        <v>0</v>
      </c>
      <c r="H14" s="517">
        <f t="shared" si="1"/>
        <v>0</v>
      </c>
      <c r="I14" s="516"/>
      <c r="J14" s="487">
        <f>'T9.8'!B14+'T9.8'!F14+'T9.8'!J14+'T9.8 (continued)'!B14+F14</f>
        <v>56.981</v>
      </c>
      <c r="K14" s="487">
        <f>'T9.8'!C14+'T9.8'!G14+'T9.8'!K14+'T9.8 (continued)'!C14+G14</f>
        <v>84.036</v>
      </c>
      <c r="L14" s="487">
        <f>'T9.8'!D14+'T9.8'!H14+'T9.8'!L14+'T9.8 (continued)'!D14+H14</f>
        <v>141.017</v>
      </c>
      <c r="M14" s="313"/>
      <c r="N14"/>
      <c r="O14" s="314"/>
      <c r="Q14" s="313"/>
      <c r="S14" s="313"/>
    </row>
    <row r="15" spans="1:19" ht="15.75">
      <c r="A15" s="33" t="s">
        <v>343</v>
      </c>
      <c r="B15" s="516">
        <v>0.021</v>
      </c>
      <c r="C15" s="516">
        <v>9.201</v>
      </c>
      <c r="D15" s="517">
        <f t="shared" si="0"/>
        <v>9.222000000000001</v>
      </c>
      <c r="E15" s="516"/>
      <c r="F15" s="516">
        <v>0</v>
      </c>
      <c r="G15" s="516">
        <v>0</v>
      </c>
      <c r="H15" s="517">
        <f t="shared" si="1"/>
        <v>0</v>
      </c>
      <c r="I15" s="516"/>
      <c r="J15" s="487">
        <f>'T9.8'!B15+'T9.8'!F15+'T9.8'!J15+'T9.8 (continued)'!B15+F15</f>
        <v>242.516</v>
      </c>
      <c r="K15" s="487">
        <f>'T9.8'!C15+'T9.8'!G15+'T9.8'!K15+'T9.8 (continued)'!C15+G15</f>
        <v>2339.928</v>
      </c>
      <c r="L15" s="487">
        <f>'T9.8'!D15+'T9.8'!H15+'T9.8'!L15+'T9.8 (continued)'!D15+H15</f>
        <v>2582.4440000000004</v>
      </c>
      <c r="M15" s="313"/>
      <c r="N15"/>
      <c r="O15" s="314"/>
      <c r="Q15" s="313"/>
      <c r="S15" s="313"/>
    </row>
    <row r="16" spans="1:19" ht="15.75">
      <c r="A16" s="33" t="s">
        <v>344</v>
      </c>
      <c r="B16" s="516">
        <v>1.488</v>
      </c>
      <c r="C16" s="516">
        <v>46.92</v>
      </c>
      <c r="D16" s="517">
        <f t="shared" si="0"/>
        <v>48.408</v>
      </c>
      <c r="E16" s="516"/>
      <c r="F16" s="516">
        <v>0</v>
      </c>
      <c r="G16" s="516">
        <v>0</v>
      </c>
      <c r="H16" s="517">
        <f t="shared" si="1"/>
        <v>0</v>
      </c>
      <c r="I16" s="516"/>
      <c r="J16" s="487">
        <f>'T9.8'!B16+'T9.8'!F16+'T9.8'!J16+'T9.8 (continued)'!B16+F16</f>
        <v>178.085</v>
      </c>
      <c r="K16" s="487">
        <f>'T9.8'!C16+'T9.8'!G16+'T9.8'!K16+'T9.8 (continued)'!C16+G16</f>
        <v>6740.116</v>
      </c>
      <c r="L16" s="487">
        <f>'T9.8'!D16+'T9.8'!H16+'T9.8'!L16+'T9.8 (continued)'!D16+H16</f>
        <v>6918.201</v>
      </c>
      <c r="M16" s="313"/>
      <c r="N16"/>
      <c r="O16" s="314"/>
      <c r="Q16" s="313"/>
      <c r="S16" s="313"/>
    </row>
    <row r="17" spans="1:19" ht="15.75">
      <c r="A17" s="33" t="s">
        <v>345</v>
      </c>
      <c r="B17" s="516">
        <v>0.581</v>
      </c>
      <c r="C17" s="516">
        <v>0</v>
      </c>
      <c r="D17" s="517">
        <f t="shared" si="0"/>
        <v>0.581</v>
      </c>
      <c r="E17" s="516"/>
      <c r="F17" s="516">
        <v>0</v>
      </c>
      <c r="G17" s="516">
        <v>0</v>
      </c>
      <c r="H17" s="517">
        <f t="shared" si="1"/>
        <v>0</v>
      </c>
      <c r="I17" s="516"/>
      <c r="J17" s="487">
        <f>'T9.8'!B17+'T9.8'!F17+'T9.8'!J17+'T9.8 (continued)'!B17+F17</f>
        <v>122.294</v>
      </c>
      <c r="K17" s="487">
        <f>'T9.8'!C17+'T9.8'!G17+'T9.8'!K17+'T9.8 (continued)'!C17+G17</f>
        <v>1.613</v>
      </c>
      <c r="L17" s="487">
        <f>'T9.8'!D17+'T9.8'!H17+'T9.8'!L17+'T9.8 (continued)'!D17+H17</f>
        <v>123.907</v>
      </c>
      <c r="M17" s="313"/>
      <c r="N17"/>
      <c r="O17" s="314"/>
      <c r="Q17" s="313"/>
      <c r="S17" s="313"/>
    </row>
    <row r="18" spans="1:19" ht="15.75">
      <c r="A18" s="33" t="s">
        <v>439</v>
      </c>
      <c r="B18" s="516">
        <v>0</v>
      </c>
      <c r="C18" s="516">
        <v>0</v>
      </c>
      <c r="D18" s="517">
        <f t="shared" si="0"/>
        <v>0</v>
      </c>
      <c r="E18" s="516"/>
      <c r="F18" s="516">
        <v>0</v>
      </c>
      <c r="G18" s="516">
        <v>0</v>
      </c>
      <c r="H18" s="517">
        <f t="shared" si="1"/>
        <v>0</v>
      </c>
      <c r="I18" s="516"/>
      <c r="J18" s="487">
        <f>'T9.8'!B18+'T9.8'!F18+'T9.8'!J18+'T9.8 (continued)'!B18+F18</f>
        <v>23.267000000000003</v>
      </c>
      <c r="K18" s="487">
        <f>'T9.8'!C18+'T9.8'!G18+'T9.8'!K18+'T9.8 (continued)'!C18+G18</f>
        <v>50.80200000000001</v>
      </c>
      <c r="L18" s="487">
        <f>'T9.8'!D18+'T9.8'!H18+'T9.8'!L18+'T9.8 (continued)'!D18+H18</f>
        <v>74.06900000000002</v>
      </c>
      <c r="M18" s="313"/>
      <c r="N18"/>
      <c r="O18" s="314"/>
      <c r="Q18" s="313"/>
      <c r="S18" s="313"/>
    </row>
    <row r="19" spans="1:19" ht="15.75">
      <c r="A19" s="33" t="s">
        <v>346</v>
      </c>
      <c r="B19" s="516">
        <v>29.253</v>
      </c>
      <c r="C19" s="516">
        <v>0</v>
      </c>
      <c r="D19" s="517">
        <f t="shared" si="0"/>
        <v>29.253</v>
      </c>
      <c r="E19" s="516"/>
      <c r="F19" s="516">
        <v>0</v>
      </c>
      <c r="G19" s="516">
        <v>0</v>
      </c>
      <c r="H19" s="517">
        <f t="shared" si="1"/>
        <v>0</v>
      </c>
      <c r="I19" s="516"/>
      <c r="J19" s="487">
        <f>'T9.8'!B19+'T9.8'!F19+'T9.8'!J19+'T9.8 (continued)'!B19+F19</f>
        <v>38.143</v>
      </c>
      <c r="K19" s="487">
        <f>'T9.8'!C19+'T9.8'!G19+'T9.8'!K19+'T9.8 (continued)'!C19+G19</f>
        <v>714.806</v>
      </c>
      <c r="L19" s="487">
        <f>'T9.8'!D19+'T9.8'!H19+'T9.8'!L19+'T9.8 (continued)'!D19+H19</f>
        <v>752.9490000000001</v>
      </c>
      <c r="M19" s="313"/>
      <c r="N19"/>
      <c r="O19" s="314"/>
      <c r="Q19" s="313"/>
      <c r="S19" s="313"/>
    </row>
    <row r="20" spans="1:19" ht="15.75">
      <c r="A20" s="33" t="s">
        <v>353</v>
      </c>
      <c r="B20" s="516">
        <v>0.018</v>
      </c>
      <c r="C20" s="516">
        <v>0</v>
      </c>
      <c r="D20" s="517">
        <f t="shared" si="0"/>
        <v>0.018</v>
      </c>
      <c r="E20" s="516"/>
      <c r="F20" s="516">
        <v>0</v>
      </c>
      <c r="G20" s="516">
        <v>0</v>
      </c>
      <c r="H20" s="517">
        <f t="shared" si="1"/>
        <v>0</v>
      </c>
      <c r="I20" s="516"/>
      <c r="J20" s="487">
        <f>'T9.8'!B20+'T9.8'!F20+'T9.8'!J20+'T9.8 (continued)'!B20+F20</f>
        <v>266.371</v>
      </c>
      <c r="K20" s="487">
        <f>'T9.8'!C20+'T9.8'!G20+'T9.8'!K20+'T9.8 (continued)'!C20+G20</f>
        <v>7.749</v>
      </c>
      <c r="L20" s="487">
        <f>'T9.8'!D20+'T9.8'!H20+'T9.8'!L20+'T9.8 (continued)'!D20+H20</f>
        <v>274.12</v>
      </c>
      <c r="M20" s="313"/>
      <c r="N20"/>
      <c r="O20" s="314"/>
      <c r="Q20" s="313"/>
      <c r="S20" s="313"/>
    </row>
    <row r="21" spans="1:19" ht="15.75">
      <c r="A21" s="33" t="s">
        <v>354</v>
      </c>
      <c r="B21" s="516">
        <v>0</v>
      </c>
      <c r="C21" s="516">
        <v>0</v>
      </c>
      <c r="D21" s="517">
        <f t="shared" si="0"/>
        <v>0</v>
      </c>
      <c r="E21" s="516"/>
      <c r="F21" s="516">
        <v>0</v>
      </c>
      <c r="G21" s="516">
        <v>0</v>
      </c>
      <c r="H21" s="517">
        <f t="shared" si="1"/>
        <v>0</v>
      </c>
      <c r="I21" s="516"/>
      <c r="J21" s="487">
        <f>'T9.8'!B21+'T9.8'!F21+'T9.8'!J21+'T9.8 (continued)'!B21+F21</f>
        <v>1.483</v>
      </c>
      <c r="K21" s="487">
        <f>'T9.8'!C21+'T9.8'!G21+'T9.8'!K21+'T9.8 (continued)'!C21+G21</f>
        <v>0</v>
      </c>
      <c r="L21" s="487">
        <f>'T9.8'!D21+'T9.8'!H21+'T9.8'!L21+'T9.8 (continued)'!D21+H21</f>
        <v>1.483</v>
      </c>
      <c r="M21" s="313"/>
      <c r="N21"/>
      <c r="O21" s="314"/>
      <c r="Q21" s="313"/>
      <c r="S21" s="313"/>
    </row>
    <row r="22" spans="1:19" ht="15.75">
      <c r="A22" s="33" t="s">
        <v>347</v>
      </c>
      <c r="B22" s="516">
        <v>304.963</v>
      </c>
      <c r="C22" s="516">
        <v>719.29</v>
      </c>
      <c r="D22" s="517">
        <f t="shared" si="0"/>
        <v>1024.253</v>
      </c>
      <c r="E22" s="516"/>
      <c r="F22" s="516">
        <v>2.248</v>
      </c>
      <c r="G22" s="516">
        <v>0</v>
      </c>
      <c r="H22" s="517">
        <f t="shared" si="1"/>
        <v>2.248</v>
      </c>
      <c r="I22" s="516"/>
      <c r="J22" s="487">
        <f>'T9.8'!B22+'T9.8'!F22+'T9.8'!J22+'T9.8 (continued)'!B22+F22</f>
        <v>1170.29</v>
      </c>
      <c r="K22" s="487">
        <f>'T9.8'!C22+'T9.8'!G22+'T9.8'!K22+'T9.8 (continued)'!C22+G22</f>
        <v>10893.199</v>
      </c>
      <c r="L22" s="487">
        <f>'T9.8'!D22+'T9.8'!H22+'T9.8'!L22+'T9.8 (continued)'!D22+H22</f>
        <v>12063.489000000001</v>
      </c>
      <c r="M22" s="313"/>
      <c r="N22"/>
      <c r="O22" s="314"/>
      <c r="Q22" s="313"/>
      <c r="S22" s="313"/>
    </row>
    <row r="23" spans="1:19" ht="15.75">
      <c r="A23" s="33" t="s">
        <v>356</v>
      </c>
      <c r="B23" s="516">
        <v>0.54</v>
      </c>
      <c r="C23" s="516">
        <v>0</v>
      </c>
      <c r="D23" s="517">
        <f t="shared" si="0"/>
        <v>0.54</v>
      </c>
      <c r="E23" s="516"/>
      <c r="F23" s="516">
        <v>0</v>
      </c>
      <c r="G23" s="516">
        <v>0</v>
      </c>
      <c r="H23" s="517">
        <f t="shared" si="1"/>
        <v>0</v>
      </c>
      <c r="I23" s="516"/>
      <c r="J23" s="487">
        <f>'T9.8'!B23+'T9.8'!F23+'T9.8'!J23+'T9.8 (continued)'!B23+F23</f>
        <v>28.422</v>
      </c>
      <c r="K23" s="487">
        <f>'T9.8'!C23+'T9.8'!G23+'T9.8'!K23+'T9.8 (continued)'!C23+G23</f>
        <v>1734.815</v>
      </c>
      <c r="L23" s="487">
        <f>'T9.8'!D23+'T9.8'!H23+'T9.8'!L23+'T9.8 (continued)'!D23+H23</f>
        <v>1763.2369999999999</v>
      </c>
      <c r="M23" s="313"/>
      <c r="N23"/>
      <c r="O23" s="314"/>
      <c r="Q23" s="313"/>
      <c r="S23" s="313"/>
    </row>
    <row r="24" spans="1:19" ht="15.75">
      <c r="A24" s="33" t="s">
        <v>348</v>
      </c>
      <c r="B24" s="516">
        <v>3.274</v>
      </c>
      <c r="C24" s="516">
        <v>11.45</v>
      </c>
      <c r="D24" s="517">
        <f t="shared" si="0"/>
        <v>14.724</v>
      </c>
      <c r="E24" s="516"/>
      <c r="F24" s="516">
        <v>0</v>
      </c>
      <c r="G24" s="516">
        <v>0</v>
      </c>
      <c r="H24" s="517">
        <f t="shared" si="1"/>
        <v>0</v>
      </c>
      <c r="I24" s="516"/>
      <c r="J24" s="487">
        <f>'T9.8'!B24+'T9.8'!F24+'T9.8'!J24+'T9.8 (continued)'!B24+F24</f>
        <v>3.274</v>
      </c>
      <c r="K24" s="487">
        <f>'T9.8'!C24+'T9.8'!G24+'T9.8'!K24+'T9.8 (continued)'!C24+G24</f>
        <v>85.935</v>
      </c>
      <c r="L24" s="487">
        <f>'T9.8'!D24+'T9.8'!H24+'T9.8'!L24+'T9.8 (continued)'!D24+H24</f>
        <v>89.209</v>
      </c>
      <c r="M24" s="313"/>
      <c r="N24"/>
      <c r="O24" s="314"/>
      <c r="Q24" s="313"/>
      <c r="S24" s="313"/>
    </row>
    <row r="25" spans="1:19" ht="15.75">
      <c r="A25" s="33" t="s">
        <v>397</v>
      </c>
      <c r="B25" s="516">
        <v>65.615</v>
      </c>
      <c r="C25" s="516">
        <v>130.508</v>
      </c>
      <c r="D25" s="517">
        <f t="shared" si="0"/>
        <v>196.123</v>
      </c>
      <c r="E25" s="516"/>
      <c r="F25" s="516">
        <v>0</v>
      </c>
      <c r="G25" s="516">
        <v>0</v>
      </c>
      <c r="H25" s="517">
        <f t="shared" si="1"/>
        <v>0</v>
      </c>
      <c r="I25" s="516"/>
      <c r="J25" s="487">
        <f>'T9.8'!B25+'T9.8'!F25+'T9.8'!J25+'T9.8 (continued)'!B25+F25</f>
        <v>193.68200000000002</v>
      </c>
      <c r="K25" s="487">
        <f>'T9.8'!C25+'T9.8'!G25+'T9.8'!K25+'T9.8 (continued)'!C25+G25</f>
        <v>758.5240000000001</v>
      </c>
      <c r="L25" s="487">
        <f>'T9.8'!D25+'T9.8'!H25+'T9.8'!L25+'T9.8 (continued)'!D25+H25</f>
        <v>952.2060000000001</v>
      </c>
      <c r="M25" s="313"/>
      <c r="N25"/>
      <c r="O25" s="314"/>
      <c r="Q25" s="313"/>
      <c r="S25" s="313"/>
    </row>
    <row r="26" spans="1:19" ht="15.75">
      <c r="A26" s="33" t="s">
        <v>349</v>
      </c>
      <c r="B26" s="516">
        <v>0.005</v>
      </c>
      <c r="C26" s="516">
        <v>0</v>
      </c>
      <c r="D26" s="517">
        <f t="shared" si="0"/>
        <v>0.005</v>
      </c>
      <c r="E26" s="516"/>
      <c r="F26" s="516">
        <v>0</v>
      </c>
      <c r="G26" s="516">
        <v>0</v>
      </c>
      <c r="H26" s="517">
        <f t="shared" si="1"/>
        <v>0</v>
      </c>
      <c r="I26" s="516"/>
      <c r="J26" s="487">
        <f>'T9.8'!B26+'T9.8'!F26+'T9.8'!J26+'T9.8 (continued)'!B26+F26</f>
        <v>900.7289999999999</v>
      </c>
      <c r="K26" s="487">
        <f>'T9.8'!C26+'T9.8'!G26+'T9.8'!K26+'T9.8 (continued)'!C26+G26</f>
        <v>782.306</v>
      </c>
      <c r="L26" s="487">
        <f>'T9.8'!D26+'T9.8'!H26+'T9.8'!L26+'T9.8 (continued)'!D26+H26</f>
        <v>1683.0350000000003</v>
      </c>
      <c r="M26" s="313"/>
      <c r="N26"/>
      <c r="O26" s="314"/>
      <c r="Q26" s="313"/>
      <c r="S26" s="313"/>
    </row>
    <row r="27" spans="1:14" ht="6" customHeight="1">
      <c r="A27" s="315"/>
      <c r="B27" s="233"/>
      <c r="C27" s="233"/>
      <c r="D27" s="397" t="s">
        <v>292</v>
      </c>
      <c r="E27" s="233"/>
      <c r="F27" s="233"/>
      <c r="G27" s="233"/>
      <c r="H27" s="397" t="s">
        <v>292</v>
      </c>
      <c r="I27" s="233"/>
      <c r="J27" s="487"/>
      <c r="K27" s="487"/>
      <c r="L27" s="487"/>
      <c r="N27"/>
    </row>
    <row r="28" spans="1:14" ht="15.75">
      <c r="A28" s="37" t="s">
        <v>597</v>
      </c>
      <c r="B28" s="517">
        <f>SUM(B10:B26)</f>
        <v>462.20400000000006</v>
      </c>
      <c r="C28" s="517">
        <f>SUM(C10:C26)</f>
        <v>1607.348</v>
      </c>
      <c r="D28" s="517">
        <f>SUM(D10:D26)</f>
        <v>2069.552</v>
      </c>
      <c r="E28" s="517"/>
      <c r="F28" s="517">
        <f>SUM(F10:F26)</f>
        <v>406.18399999999997</v>
      </c>
      <c r="G28" s="517">
        <f>SUM(G10:G26)</f>
        <v>231.835</v>
      </c>
      <c r="H28" s="517">
        <f>SUM(H10:H26)</f>
        <v>638.019</v>
      </c>
      <c r="I28" s="517"/>
      <c r="J28" s="487">
        <f>'T9.8'!B28+'T9.8'!F28+'T9.8'!J28+'T9.8 (continued)'!B28+F28</f>
        <v>4398.438</v>
      </c>
      <c r="K28" s="487">
        <f>'T9.8'!C28+'T9.8'!G28+'T9.8'!K28+'T9.8 (continued)'!C28+G28</f>
        <v>27787.924</v>
      </c>
      <c r="L28" s="487">
        <f>'T9.8'!D28+'T9.8'!H28+'T9.8'!L28+'T9.8 (continued)'!D28+H28</f>
        <v>32186.361999999997</v>
      </c>
      <c r="N28"/>
    </row>
    <row r="29" spans="1:14" ht="6" customHeight="1">
      <c r="A29" s="33"/>
      <c r="B29" s="519"/>
      <c r="C29" s="519"/>
      <c r="D29" s="539"/>
      <c r="E29" s="519"/>
      <c r="F29" s="519"/>
      <c r="G29" s="519"/>
      <c r="H29" s="539"/>
      <c r="I29" s="519"/>
      <c r="J29" s="487"/>
      <c r="K29" s="487"/>
      <c r="L29" s="487"/>
      <c r="N29"/>
    </row>
    <row r="30" spans="1:12" ht="15.75">
      <c r="A30" s="37" t="s">
        <v>387</v>
      </c>
      <c r="B30" s="519"/>
      <c r="C30" s="519"/>
      <c r="D30" s="539"/>
      <c r="E30" s="519"/>
      <c r="F30" s="519"/>
      <c r="G30" s="519"/>
      <c r="H30" s="539"/>
      <c r="I30" s="519"/>
      <c r="J30" s="487"/>
      <c r="K30" s="487"/>
      <c r="L30" s="487"/>
    </row>
    <row r="31" spans="1:12" ht="15">
      <c r="A31" s="33" t="s">
        <v>440</v>
      </c>
      <c r="B31" s="516">
        <v>0</v>
      </c>
      <c r="C31" s="516">
        <v>0</v>
      </c>
      <c r="D31" s="517">
        <f aca="true" t="shared" si="2" ref="D31:D41">SUM(B31:C31)</f>
        <v>0</v>
      </c>
      <c r="E31" s="519"/>
      <c r="F31" s="516">
        <v>0</v>
      </c>
      <c r="G31" s="516">
        <v>0</v>
      </c>
      <c r="H31" s="517">
        <f aca="true" t="shared" si="3" ref="H31:H41">SUM(F31:G31)</f>
        <v>0</v>
      </c>
      <c r="I31" s="519"/>
      <c r="J31" s="487">
        <f>'T9.8'!B31+'T9.8'!F31+'T9.8'!J31+'T9.8 (continued)'!B31+F31</f>
        <v>99.478</v>
      </c>
      <c r="K31" s="487">
        <f>'T9.8'!C31+'T9.8'!G31+'T9.8'!K31+'T9.8 (continued)'!C31+G31</f>
        <v>0</v>
      </c>
      <c r="L31" s="487">
        <f>'T9.8'!D31+'T9.8'!H31+'T9.8'!L31+'T9.8 (continued)'!D31+H31</f>
        <v>99.478</v>
      </c>
    </row>
    <row r="32" spans="1:12" ht="15">
      <c r="A32" s="33" t="s">
        <v>350</v>
      </c>
      <c r="B32" s="516">
        <v>0.861</v>
      </c>
      <c r="C32" s="516">
        <v>0</v>
      </c>
      <c r="D32" s="517">
        <f t="shared" si="2"/>
        <v>0.861</v>
      </c>
      <c r="E32" s="519"/>
      <c r="F32" s="516">
        <v>0</v>
      </c>
      <c r="G32" s="516">
        <v>0</v>
      </c>
      <c r="H32" s="517">
        <f t="shared" si="3"/>
        <v>0</v>
      </c>
      <c r="I32" s="519"/>
      <c r="J32" s="487">
        <f>'T9.8'!B32+'T9.8'!F32+'T9.8'!J32+'T9.8 (continued)'!B32+F32</f>
        <v>72.72500000000001</v>
      </c>
      <c r="K32" s="487">
        <f>'T9.8'!C32+'T9.8'!G32+'T9.8'!K32+'T9.8 (continued)'!C32+G32</f>
        <v>28.651</v>
      </c>
      <c r="L32" s="487">
        <f>'T9.8'!D32+'T9.8'!H32+'T9.8'!L32+'T9.8 (continued)'!D32+H32</f>
        <v>101.376</v>
      </c>
    </row>
    <row r="33" spans="1:19" ht="15.75">
      <c r="A33" s="33" t="s">
        <v>569</v>
      </c>
      <c r="B33" s="516">
        <v>0</v>
      </c>
      <c r="C33" s="516">
        <v>0</v>
      </c>
      <c r="D33" s="517">
        <f t="shared" si="2"/>
        <v>0</v>
      </c>
      <c r="E33" s="32"/>
      <c r="F33" s="516">
        <v>0</v>
      </c>
      <c r="G33" s="516">
        <v>0</v>
      </c>
      <c r="H33" s="517">
        <f t="shared" si="3"/>
        <v>0</v>
      </c>
      <c r="I33" s="516"/>
      <c r="J33" s="487">
        <f>'T9.8'!B33+'T9.8'!F33+'T9.8'!J33+'T9.8 (continued)'!B33+F33</f>
        <v>5.372</v>
      </c>
      <c r="K33" s="487">
        <f>'T9.8'!C33+'T9.8'!G33+'T9.8'!K33+'T9.8 (continued)'!C33+G33</f>
        <v>0</v>
      </c>
      <c r="L33" s="487">
        <f>'T9.8'!D33+'T9.8'!H33+'T9.8'!L33+'T9.8 (continued)'!D33+H33</f>
        <v>5.372</v>
      </c>
      <c r="M33" s="313"/>
      <c r="O33" s="314"/>
      <c r="Q33" s="313"/>
      <c r="S33" s="313"/>
    </row>
    <row r="34" spans="1:19" ht="15.75">
      <c r="A34" s="33" t="s">
        <v>352</v>
      </c>
      <c r="B34" s="516">
        <v>11.255</v>
      </c>
      <c r="C34" s="516">
        <v>0</v>
      </c>
      <c r="D34" s="517">
        <f t="shared" si="2"/>
        <v>11.255</v>
      </c>
      <c r="E34" s="32"/>
      <c r="F34" s="516">
        <v>0</v>
      </c>
      <c r="G34" s="516">
        <v>0</v>
      </c>
      <c r="H34" s="517">
        <f t="shared" si="3"/>
        <v>0</v>
      </c>
      <c r="I34" s="516"/>
      <c r="J34" s="487">
        <f>'T9.8'!B34+'T9.8'!F34+'T9.8'!J34+'T9.8 (continued)'!B34+F34</f>
        <v>11.255</v>
      </c>
      <c r="K34" s="487">
        <f>'T9.8'!C34+'T9.8'!G34+'T9.8'!K34+'T9.8 (continued)'!C34+G34</f>
        <v>0</v>
      </c>
      <c r="L34" s="487">
        <f>'T9.8'!D34+'T9.8'!H34+'T9.8'!L34+'T9.8 (continued)'!D34+H34</f>
        <v>11.255</v>
      </c>
      <c r="M34" s="313"/>
      <c r="O34" s="314"/>
      <c r="Q34" s="313"/>
      <c r="S34" s="313"/>
    </row>
    <row r="35" spans="1:19" ht="15.75">
      <c r="A35" s="33" t="s">
        <v>442</v>
      </c>
      <c r="B35" s="516">
        <v>0.02</v>
      </c>
      <c r="C35" s="516">
        <v>0</v>
      </c>
      <c r="D35" s="517">
        <f t="shared" si="2"/>
        <v>0.02</v>
      </c>
      <c r="E35" s="32"/>
      <c r="F35" s="516">
        <v>0</v>
      </c>
      <c r="G35" s="516">
        <v>0</v>
      </c>
      <c r="H35" s="517">
        <f t="shared" si="3"/>
        <v>0</v>
      </c>
      <c r="I35" s="516"/>
      <c r="J35" s="487">
        <f>'T9.8'!B35+'T9.8'!F35+'T9.8'!J35+'T9.8 (continued)'!B35+F35</f>
        <v>0.768</v>
      </c>
      <c r="K35" s="487">
        <f>'T9.8'!C35+'T9.8'!G35+'T9.8'!K35+'T9.8 (continued)'!C35+G35</f>
        <v>99.149</v>
      </c>
      <c r="L35" s="487">
        <f>'T9.8'!D35+'T9.8'!H35+'T9.8'!L35+'T9.8 (continued)'!D35+H35</f>
        <v>99.91699999999999</v>
      </c>
      <c r="M35" s="313"/>
      <c r="O35" s="314"/>
      <c r="Q35" s="313"/>
      <c r="S35" s="313"/>
    </row>
    <row r="36" spans="1:19" ht="15.75">
      <c r="A36" s="33" t="s">
        <v>355</v>
      </c>
      <c r="B36" s="516">
        <v>0.04</v>
      </c>
      <c r="C36" s="516">
        <v>0</v>
      </c>
      <c r="D36" s="517">
        <f t="shared" si="2"/>
        <v>0.04</v>
      </c>
      <c r="E36" s="32"/>
      <c r="F36" s="516">
        <v>0</v>
      </c>
      <c r="G36" s="516">
        <v>0</v>
      </c>
      <c r="H36" s="517">
        <f t="shared" si="3"/>
        <v>0</v>
      </c>
      <c r="I36" s="516"/>
      <c r="J36" s="487">
        <f>'T9.8'!B36+'T9.8'!F36+'T9.8'!J36+'T9.8 (continued)'!B36+F36</f>
        <v>135.54399999999998</v>
      </c>
      <c r="K36" s="487">
        <f>'T9.8'!C36+'T9.8'!G36+'T9.8'!K36+'T9.8 (continued)'!C36+G36</f>
        <v>42.992</v>
      </c>
      <c r="L36" s="487">
        <f>'T9.8'!D36+'T9.8'!H36+'T9.8'!L36+'T9.8 (continued)'!D36+H36</f>
        <v>178.53599999999997</v>
      </c>
      <c r="M36" s="313"/>
      <c r="O36" s="314"/>
      <c r="Q36" s="313"/>
      <c r="S36" s="313"/>
    </row>
    <row r="37" spans="1:19" ht="15.75">
      <c r="A37" s="33" t="s">
        <v>651</v>
      </c>
      <c r="B37" s="516">
        <v>7.733</v>
      </c>
      <c r="C37" s="516">
        <v>12.009</v>
      </c>
      <c r="D37" s="517">
        <f t="shared" si="2"/>
        <v>19.742</v>
      </c>
      <c r="E37" s="32"/>
      <c r="F37" s="516">
        <v>8.98</v>
      </c>
      <c r="G37" s="516">
        <v>6.039</v>
      </c>
      <c r="H37" s="517">
        <f t="shared" si="3"/>
        <v>15.019</v>
      </c>
      <c r="I37" s="516"/>
      <c r="J37" s="487">
        <f>'T9.8'!B37+'T9.8'!F37+'T9.8'!J37+'T9.8 (continued)'!B37+F37</f>
        <v>1952.224</v>
      </c>
      <c r="K37" s="487">
        <f>'T9.8'!C37+'T9.8'!G37+'T9.8'!K37+'T9.8 (continued)'!C37+G37</f>
        <v>588.222</v>
      </c>
      <c r="L37" s="487">
        <f>'T9.8'!D37+'T9.8'!H37+'T9.8'!L37+'T9.8 (continued)'!D37+H37</f>
        <v>2540.446</v>
      </c>
      <c r="M37" s="313"/>
      <c r="O37" s="314"/>
      <c r="Q37" s="313"/>
      <c r="S37" s="313"/>
    </row>
    <row r="38" spans="1:19" ht="17.25" customHeight="1">
      <c r="A38" s="143" t="s">
        <v>357</v>
      </c>
      <c r="B38" s="516">
        <v>2.317</v>
      </c>
      <c r="C38" s="516">
        <v>0</v>
      </c>
      <c r="D38" s="517">
        <f t="shared" si="2"/>
        <v>2.317</v>
      </c>
      <c r="E38" s="32"/>
      <c r="F38" s="516">
        <v>0</v>
      </c>
      <c r="G38" s="516">
        <v>0</v>
      </c>
      <c r="H38" s="517">
        <f t="shared" si="3"/>
        <v>0</v>
      </c>
      <c r="I38" s="516"/>
      <c r="J38" s="487">
        <f>'T9.8'!B38+'T9.8'!F38+'T9.8'!J38+'T9.8 (continued)'!B38+F38</f>
        <v>2151.149</v>
      </c>
      <c r="K38" s="487">
        <f>'T9.8'!C38+'T9.8'!G38+'T9.8'!K38+'T9.8 (continued)'!C38+G38</f>
        <v>18.559</v>
      </c>
      <c r="L38" s="487">
        <f>'T9.8'!D38+'T9.8'!H38+'T9.8'!L38+'T9.8 (continued)'!D38+H38</f>
        <v>2169.708</v>
      </c>
      <c r="M38" s="313"/>
      <c r="O38" s="314"/>
      <c r="Q38" s="313"/>
      <c r="S38" s="313"/>
    </row>
    <row r="39" spans="1:19" s="2" customFormat="1" ht="15.75">
      <c r="A39" s="143" t="s">
        <v>570</v>
      </c>
      <c r="B39" s="516">
        <v>0.021</v>
      </c>
      <c r="C39" s="516">
        <v>0</v>
      </c>
      <c r="D39" s="517">
        <f t="shared" si="2"/>
        <v>0.021</v>
      </c>
      <c r="E39" s="537"/>
      <c r="F39" s="516">
        <v>0</v>
      </c>
      <c r="G39" s="516">
        <v>0</v>
      </c>
      <c r="H39" s="517">
        <f t="shared" si="3"/>
        <v>0</v>
      </c>
      <c r="I39" s="32"/>
      <c r="J39" s="487">
        <f>'T9.8'!B39+'T9.8'!F39+'T9.8'!J39+'T9.8 (continued)'!B39+F39</f>
        <v>43.859</v>
      </c>
      <c r="K39" s="487">
        <f>'T9.8'!C39+'T9.8'!G39+'T9.8'!K39+'T9.8 (continued)'!C39+G39</f>
        <v>0.485</v>
      </c>
      <c r="L39" s="487">
        <f>'T9.8'!D39+'T9.8'!H39+'T9.8'!L39+'T9.8 (continued)'!D39+H39</f>
        <v>44.344</v>
      </c>
      <c r="M39" s="313"/>
      <c r="O39" s="314"/>
      <c r="Q39" s="313"/>
      <c r="S39" s="313"/>
    </row>
    <row r="40" spans="1:19" ht="15.75">
      <c r="A40" s="143" t="s">
        <v>358</v>
      </c>
      <c r="B40" s="516">
        <v>6.916</v>
      </c>
      <c r="C40" s="516">
        <v>0</v>
      </c>
      <c r="D40" s="517">
        <f t="shared" si="2"/>
        <v>6.916</v>
      </c>
      <c r="E40" s="32"/>
      <c r="F40" s="516">
        <v>0</v>
      </c>
      <c r="G40" s="516">
        <v>0</v>
      </c>
      <c r="H40" s="517">
        <f t="shared" si="3"/>
        <v>0</v>
      </c>
      <c r="I40" s="516"/>
      <c r="J40" s="487">
        <f>'T9.8'!B40+'T9.8'!F40+'T9.8'!J40+'T9.8 (continued)'!B40+F40</f>
        <v>51.902</v>
      </c>
      <c r="K40" s="487">
        <f>'T9.8'!C40+'T9.8'!G40+'T9.8'!K40+'T9.8 (continued)'!C40+G40</f>
        <v>0</v>
      </c>
      <c r="L40" s="487">
        <f>'T9.8'!D40+'T9.8'!H40+'T9.8'!L40+'T9.8 (continued)'!D40+H40</f>
        <v>51.902</v>
      </c>
      <c r="M40" s="313"/>
      <c r="O40" s="314"/>
      <c r="Q40" s="313"/>
      <c r="S40" s="313"/>
    </row>
    <row r="41" spans="1:19" ht="15.75">
      <c r="A41" s="143" t="s">
        <v>624</v>
      </c>
      <c r="B41" s="516">
        <v>0.031</v>
      </c>
      <c r="C41" s="516">
        <v>0</v>
      </c>
      <c r="D41" s="517">
        <f t="shared" si="2"/>
        <v>0.031</v>
      </c>
      <c r="E41" s="32"/>
      <c r="F41" s="516">
        <v>0</v>
      </c>
      <c r="G41" s="516">
        <v>0</v>
      </c>
      <c r="H41" s="517">
        <f t="shared" si="3"/>
        <v>0</v>
      </c>
      <c r="I41" s="516"/>
      <c r="J41" s="487">
        <f>'T9.8'!B41+'T9.8'!F41+'T9.8'!J41+'T9.8 (continued)'!B41+F41</f>
        <v>34.711</v>
      </c>
      <c r="K41" s="487">
        <f>'T9.8'!C41+'T9.8'!G41+'T9.8'!K41+'T9.8 (continued)'!C41+G41</f>
        <v>0</v>
      </c>
      <c r="L41" s="487">
        <f>'T9.8'!D41+'T9.8'!H41+'T9.8'!L41+'T9.8 (continued)'!D41+H41</f>
        <v>34.711</v>
      </c>
      <c r="M41" s="313"/>
      <c r="O41" s="314"/>
      <c r="Q41" s="313"/>
      <c r="S41" s="313"/>
    </row>
    <row r="42" spans="1:12" ht="15.75">
      <c r="A42" s="2" t="s">
        <v>493</v>
      </c>
      <c r="B42" s="520">
        <f>SUM(B31:B41)</f>
        <v>29.194</v>
      </c>
      <c r="C42" s="520">
        <f>SUM(C31:C41)</f>
        <v>12.009</v>
      </c>
      <c r="D42" s="520">
        <f>SUM(D31:D41)</f>
        <v>41.202999999999996</v>
      </c>
      <c r="E42" s="520"/>
      <c r="F42" s="520">
        <f>SUM(F31:F41)</f>
        <v>8.98</v>
      </c>
      <c r="G42" s="520">
        <f>SUM(G31:G41)</f>
        <v>6.039</v>
      </c>
      <c r="H42" s="520">
        <f>SUM(H31:H41)</f>
        <v>15.019</v>
      </c>
      <c r="I42" s="682"/>
      <c r="J42" s="487">
        <f>'T9.8'!B42+'T9.8'!F42+'T9.8'!J42+'T9.8 (continued)'!B42+F42</f>
        <v>4558.987</v>
      </c>
      <c r="K42" s="487">
        <f>'T9.8'!C42+'T9.8'!G42+'T9.8'!K42+'T9.8 (continued)'!C42+G42</f>
        <v>778.058</v>
      </c>
      <c r="L42" s="487">
        <f>'T9.8'!D42+'T9.8'!H42+'T9.8'!L42+'T9.8 (continued)'!D42+H42</f>
        <v>5337.045000000001</v>
      </c>
    </row>
    <row r="43" spans="1:12" ht="6" customHeight="1">
      <c r="A43" s="2"/>
      <c r="B43" s="521"/>
      <c r="C43" s="521"/>
      <c r="D43" s="540"/>
      <c r="E43" s="521"/>
      <c r="F43" s="521"/>
      <c r="G43" s="521"/>
      <c r="H43" s="540"/>
      <c r="I43" s="521"/>
      <c r="J43" s="487"/>
      <c r="K43" s="487"/>
      <c r="L43" s="487"/>
    </row>
    <row r="44" spans="1:12" ht="18" customHeight="1">
      <c r="A44" s="37" t="s">
        <v>80</v>
      </c>
      <c r="B44" s="522"/>
      <c r="C44" s="522"/>
      <c r="D44" s="541"/>
      <c r="E44" s="523"/>
      <c r="F44" s="523"/>
      <c r="G44" s="523"/>
      <c r="H44" s="541"/>
      <c r="I44" s="523"/>
      <c r="J44" s="487"/>
      <c r="K44" s="487"/>
      <c r="L44" s="487"/>
    </row>
    <row r="45" spans="1:12" ht="18" customHeight="1">
      <c r="A45" s="33" t="s">
        <v>643</v>
      </c>
      <c r="B45" s="516">
        <v>0.117</v>
      </c>
      <c r="C45" s="516">
        <v>0.20700000000000002</v>
      </c>
      <c r="D45" s="517">
        <f aca="true" t="shared" si="4" ref="D45:D52">SUM(B45:C45)</f>
        <v>0.324</v>
      </c>
      <c r="E45" s="523"/>
      <c r="F45" s="516">
        <v>0</v>
      </c>
      <c r="G45" s="516">
        <v>0</v>
      </c>
      <c r="H45" s="517">
        <f aca="true" t="shared" si="5" ref="H45:H52">SUM(F45:G45)</f>
        <v>0</v>
      </c>
      <c r="I45" s="523"/>
      <c r="J45" s="487">
        <f>'T9.8'!B45+'T9.8'!F45+'T9.8'!J45+'T9.8 (continued)'!B45+F45</f>
        <v>0.168</v>
      </c>
      <c r="K45" s="487">
        <f>'T9.8'!C45+'T9.8'!G45+'T9.8'!K45+'T9.8 (continued)'!C45+G45</f>
        <v>3.327</v>
      </c>
      <c r="L45" s="487">
        <f aca="true" t="shared" si="6" ref="L45:L53">SUM(J45:K45)</f>
        <v>3.495</v>
      </c>
    </row>
    <row r="46" spans="1:12" ht="18" customHeight="1">
      <c r="A46" s="33" t="s">
        <v>571</v>
      </c>
      <c r="B46" s="516">
        <v>0.176</v>
      </c>
      <c r="C46" s="516">
        <v>0.698</v>
      </c>
      <c r="D46" s="517">
        <f t="shared" si="4"/>
        <v>0.8739999999999999</v>
      </c>
      <c r="E46" s="523"/>
      <c r="F46" s="516">
        <v>0</v>
      </c>
      <c r="G46" s="516">
        <v>0</v>
      </c>
      <c r="H46" s="517">
        <f t="shared" si="5"/>
        <v>0</v>
      </c>
      <c r="I46" s="523"/>
      <c r="J46" s="487">
        <f>'T9.8'!B46+'T9.8'!F46+'T9.8'!J46+'T9.8 (continued)'!B46+F46</f>
        <v>3.1270000000000002</v>
      </c>
      <c r="K46" s="487">
        <f>'T9.8'!C46+'T9.8'!G46+'T9.8'!K46+'T9.8 (continued)'!C46+G46</f>
        <v>8.927</v>
      </c>
      <c r="L46" s="487">
        <f t="shared" si="6"/>
        <v>12.054</v>
      </c>
    </row>
    <row r="47" spans="1:12" ht="18" customHeight="1">
      <c r="A47" s="33" t="s">
        <v>644</v>
      </c>
      <c r="B47" s="516">
        <v>0.098</v>
      </c>
      <c r="C47" s="516">
        <v>0.051</v>
      </c>
      <c r="D47" s="517">
        <f t="shared" si="4"/>
        <v>0.149</v>
      </c>
      <c r="E47" s="523"/>
      <c r="F47" s="516">
        <v>0</v>
      </c>
      <c r="G47" s="516">
        <v>0</v>
      </c>
      <c r="H47" s="517">
        <f t="shared" si="5"/>
        <v>0</v>
      </c>
      <c r="I47" s="523"/>
      <c r="J47" s="487">
        <f>'T9.8'!B47+'T9.8'!F47+'T9.8'!J47+'T9.8 (continued)'!B47+F47</f>
        <v>1.336</v>
      </c>
      <c r="K47" s="487">
        <f>'T9.8'!C47+'T9.8'!G47+'T9.8'!K47+'T9.8 (continued)'!C47+G47</f>
        <v>0.253</v>
      </c>
      <c r="L47" s="487">
        <f t="shared" si="6"/>
        <v>1.589</v>
      </c>
    </row>
    <row r="48" spans="1:12" ht="18" customHeight="1">
      <c r="A48" s="33" t="s">
        <v>38</v>
      </c>
      <c r="B48" s="516">
        <v>0.036</v>
      </c>
      <c r="C48" s="516">
        <v>0.146</v>
      </c>
      <c r="D48" s="517">
        <f t="shared" si="4"/>
        <v>0.182</v>
      </c>
      <c r="E48" s="523"/>
      <c r="F48" s="516">
        <v>0</v>
      </c>
      <c r="G48" s="516">
        <v>0</v>
      </c>
      <c r="H48" s="517">
        <f t="shared" si="5"/>
        <v>0</v>
      </c>
      <c r="I48" s="523"/>
      <c r="J48" s="487">
        <f>'T9.8'!B48+'T9.8'!F48+'T9.8'!J48+'T9.8 (continued)'!B48+F48</f>
        <v>0.32999999999999996</v>
      </c>
      <c r="K48" s="487">
        <f>'T9.8'!C48+'T9.8'!G48+'T9.8'!K48+'T9.8 (continued)'!C48+G48</f>
        <v>1.031</v>
      </c>
      <c r="L48" s="487">
        <f t="shared" si="6"/>
        <v>1.3609999999999998</v>
      </c>
    </row>
    <row r="49" spans="1:12" ht="18" customHeight="1">
      <c r="A49" s="232" t="s">
        <v>17</v>
      </c>
      <c r="B49" s="516">
        <v>0.034</v>
      </c>
      <c r="C49" s="516">
        <v>0.141</v>
      </c>
      <c r="D49" s="517">
        <f t="shared" si="4"/>
        <v>0.175</v>
      </c>
      <c r="E49" s="233"/>
      <c r="F49" s="516">
        <v>0</v>
      </c>
      <c r="G49" s="516">
        <v>0</v>
      </c>
      <c r="H49" s="517">
        <f t="shared" si="5"/>
        <v>0</v>
      </c>
      <c r="I49" s="516"/>
      <c r="J49" s="487">
        <f>'T9.8'!B49+'T9.8'!F49+'T9.8'!J49+'T9.8 (continued)'!B49+F49</f>
        <v>0.041</v>
      </c>
      <c r="K49" s="487">
        <f>'T9.8'!C49+'T9.8'!G49+'T9.8'!K49+'T9.8 (continued)'!C49+G49</f>
        <v>0.971</v>
      </c>
      <c r="L49" s="487">
        <f t="shared" si="6"/>
        <v>1.012</v>
      </c>
    </row>
    <row r="50" spans="1:12" ht="18" customHeight="1">
      <c r="A50" s="232" t="s">
        <v>18</v>
      </c>
      <c r="B50" s="516">
        <v>0.061</v>
      </c>
      <c r="C50" s="516">
        <v>0.67</v>
      </c>
      <c r="D50" s="517">
        <f t="shared" si="4"/>
        <v>0.7310000000000001</v>
      </c>
      <c r="E50" s="516"/>
      <c r="F50" s="516">
        <v>0</v>
      </c>
      <c r="G50" s="516">
        <v>0</v>
      </c>
      <c r="H50" s="517">
        <f t="shared" si="5"/>
        <v>0</v>
      </c>
      <c r="I50" s="516"/>
      <c r="J50" s="487">
        <f>'T9.8'!B50+'T9.8'!F50+'T9.8'!J50+'T9.8 (continued)'!B50+F50</f>
        <v>0.5680000000000001</v>
      </c>
      <c r="K50" s="487">
        <f>'T9.8'!C50+'T9.8'!G50+'T9.8'!K50+'T9.8 (continued)'!C50+G50</f>
        <v>20.235000000000003</v>
      </c>
      <c r="L50" s="487">
        <f t="shared" si="6"/>
        <v>20.803000000000004</v>
      </c>
    </row>
    <row r="51" spans="1:12" ht="18" customHeight="1">
      <c r="A51" s="232" t="s">
        <v>364</v>
      </c>
      <c r="B51" s="516">
        <v>0.163</v>
      </c>
      <c r="C51" s="516">
        <v>0.548</v>
      </c>
      <c r="D51" s="517">
        <f t="shared" si="4"/>
        <v>0.7110000000000001</v>
      </c>
      <c r="E51" s="233"/>
      <c r="F51" s="516">
        <v>0</v>
      </c>
      <c r="G51" s="516">
        <v>0</v>
      </c>
      <c r="H51" s="517">
        <f t="shared" si="5"/>
        <v>0</v>
      </c>
      <c r="I51" s="516"/>
      <c r="J51" s="487">
        <f>'T9.8'!B51+'T9.8'!F51+'T9.8'!J51+'T9.8 (continued)'!B51+F51</f>
        <v>1366.181</v>
      </c>
      <c r="K51" s="487">
        <f>'T9.8'!C51+'T9.8'!G51+'T9.8'!K51+'T9.8 (continued)'!C51+G51</f>
        <v>15.071</v>
      </c>
      <c r="L51" s="487">
        <f t="shared" si="6"/>
        <v>1381.252</v>
      </c>
    </row>
    <row r="52" spans="1:12" ht="18" customHeight="1">
      <c r="A52" s="232" t="s">
        <v>365</v>
      </c>
      <c r="B52" s="516">
        <v>4.335</v>
      </c>
      <c r="C52" s="516">
        <v>4.384</v>
      </c>
      <c r="D52" s="517">
        <f t="shared" si="4"/>
        <v>8.719000000000001</v>
      </c>
      <c r="E52" s="233"/>
      <c r="F52" s="516">
        <v>0</v>
      </c>
      <c r="G52" s="516">
        <v>0</v>
      </c>
      <c r="H52" s="517">
        <f t="shared" si="5"/>
        <v>0</v>
      </c>
      <c r="I52" s="516"/>
      <c r="J52" s="487">
        <f>'T9.8'!B52+'T9.8'!F52+'T9.8'!J52+'T9.8 (continued)'!B52+F52</f>
        <v>7.835</v>
      </c>
      <c r="K52" s="487">
        <f>'T9.8'!C52+'T9.8'!G52+'T9.8'!K52+'T9.8 (continued)'!C52+G52</f>
        <v>97.669</v>
      </c>
      <c r="L52" s="487">
        <f t="shared" si="6"/>
        <v>105.50399999999999</v>
      </c>
    </row>
    <row r="53" spans="1:19" ht="15.75">
      <c r="A53" s="333" t="s">
        <v>575</v>
      </c>
      <c r="B53" s="517">
        <f>SUM(B45:B52)</f>
        <v>5.02</v>
      </c>
      <c r="C53" s="517">
        <f aca="true" t="shared" si="7" ref="C53:H53">SUM(C45:C52)</f>
        <v>6.845000000000001</v>
      </c>
      <c r="D53" s="517">
        <f t="shared" si="7"/>
        <v>11.865000000000002</v>
      </c>
      <c r="E53" s="517"/>
      <c r="F53" s="517">
        <f t="shared" si="7"/>
        <v>0</v>
      </c>
      <c r="G53" s="517">
        <f t="shared" si="7"/>
        <v>0</v>
      </c>
      <c r="H53" s="517">
        <f t="shared" si="7"/>
        <v>0</v>
      </c>
      <c r="I53" s="517"/>
      <c r="J53" s="487">
        <f>'T9.8'!B53+'T9.8'!F53+'T9.8'!J53+'T9.8 (continued)'!B53+F53</f>
        <v>1379.586</v>
      </c>
      <c r="K53" s="487">
        <f>'T9.8'!C53+'T9.8'!G53+'T9.8'!K53+'T9.8 (continued)'!C53+G53</f>
        <v>147.484</v>
      </c>
      <c r="L53" s="487">
        <f t="shared" si="6"/>
        <v>1527.07</v>
      </c>
      <c r="M53" s="313"/>
      <c r="O53" s="314"/>
      <c r="Q53" s="313"/>
      <c r="S53" s="313"/>
    </row>
    <row r="54" spans="1:12" ht="6" customHeight="1">
      <c r="A54" s="143"/>
      <c r="B54" s="383"/>
      <c r="C54" s="383"/>
      <c r="D54" s="397" t="s">
        <v>292</v>
      </c>
      <c r="E54" s="233"/>
      <c r="F54" s="233"/>
      <c r="G54" s="233"/>
      <c r="H54" s="397" t="s">
        <v>292</v>
      </c>
      <c r="I54" s="233"/>
      <c r="J54" s="487" t="s">
        <v>292</v>
      </c>
      <c r="K54" s="487" t="s">
        <v>292</v>
      </c>
      <c r="L54" s="487" t="s">
        <v>292</v>
      </c>
    </row>
    <row r="55" spans="1:12" ht="18" customHeight="1">
      <c r="A55" s="315" t="s">
        <v>81</v>
      </c>
      <c r="B55" s="383"/>
      <c r="C55" s="383"/>
      <c r="D55" s="397" t="s">
        <v>292</v>
      </c>
      <c r="E55" s="233"/>
      <c r="F55" s="233"/>
      <c r="G55" s="233"/>
      <c r="H55" s="397" t="s">
        <v>292</v>
      </c>
      <c r="I55" s="233"/>
      <c r="J55" s="487" t="s">
        <v>292</v>
      </c>
      <c r="K55" s="487" t="s">
        <v>292</v>
      </c>
      <c r="L55" s="487" t="s">
        <v>292</v>
      </c>
    </row>
    <row r="56" spans="1:19" ht="15.75">
      <c r="A56" s="180" t="s">
        <v>645</v>
      </c>
      <c r="B56" s="516">
        <v>0.735</v>
      </c>
      <c r="C56" s="516">
        <v>0</v>
      </c>
      <c r="D56" s="517">
        <f aca="true" t="shared" si="8" ref="D56:D65">SUM(B56:C56)</f>
        <v>0.735</v>
      </c>
      <c r="E56" s="233"/>
      <c r="F56" s="516">
        <v>0</v>
      </c>
      <c r="G56" s="516">
        <v>0</v>
      </c>
      <c r="H56" s="517">
        <f aca="true" t="shared" si="9" ref="H56:H65">SUM(F56:G56)</f>
        <v>0</v>
      </c>
      <c r="I56" s="516"/>
      <c r="J56" s="487">
        <f>'T9.8'!B56+'T9.8'!F56+'T9.8'!J56+'T9.8 (continued)'!B56+F56</f>
        <v>55.355</v>
      </c>
      <c r="K56" s="487">
        <f>'T9.8'!C56+'T9.8'!G56+'T9.8'!K56+'T9.8 (continued)'!C56+G56</f>
        <v>160.757</v>
      </c>
      <c r="L56" s="487">
        <f>SUM(J56:K56)</f>
        <v>216.112</v>
      </c>
      <c r="M56" s="313"/>
      <c r="O56" s="314"/>
      <c r="Q56" s="313"/>
      <c r="S56" s="313"/>
    </row>
    <row r="57" spans="1:19" ht="15.75">
      <c r="A57" s="180" t="s">
        <v>572</v>
      </c>
      <c r="B57" s="516">
        <v>1.272</v>
      </c>
      <c r="C57" s="516">
        <v>0</v>
      </c>
      <c r="D57" s="517">
        <f t="shared" si="8"/>
        <v>1.272</v>
      </c>
      <c r="E57" s="233"/>
      <c r="F57" s="516">
        <v>0</v>
      </c>
      <c r="G57" s="516">
        <v>0</v>
      </c>
      <c r="H57" s="517">
        <f t="shared" si="9"/>
        <v>0</v>
      </c>
      <c r="I57" s="516"/>
      <c r="J57" s="487">
        <f>'T9.8'!B57+'T9.8'!F57+'T9.8'!J57+'T9.8 (continued)'!B57+F57</f>
        <v>30.255</v>
      </c>
      <c r="K57" s="487">
        <f>'T9.8'!C57+'T9.8'!G57+'T9.8'!K57+'T9.8 (continued)'!C57+G57</f>
        <v>9.435</v>
      </c>
      <c r="L57" s="487">
        <f aca="true" t="shared" si="10" ref="L57:L66">SUM(J57:K57)</f>
        <v>39.69</v>
      </c>
      <c r="M57" s="313"/>
      <c r="O57" s="314"/>
      <c r="Q57" s="313"/>
      <c r="S57" s="313"/>
    </row>
    <row r="58" spans="1:19" ht="15.75">
      <c r="A58" s="180" t="s">
        <v>359</v>
      </c>
      <c r="B58" s="516">
        <v>1.969</v>
      </c>
      <c r="C58" s="516">
        <v>0</v>
      </c>
      <c r="D58" s="517">
        <f t="shared" si="8"/>
        <v>1.969</v>
      </c>
      <c r="E58" s="516"/>
      <c r="F58" s="516">
        <v>0</v>
      </c>
      <c r="G58" s="516">
        <v>0</v>
      </c>
      <c r="H58" s="517">
        <f t="shared" si="9"/>
        <v>0</v>
      </c>
      <c r="I58" s="516"/>
      <c r="J58" s="487">
        <f>'T9.8'!B58+'T9.8'!F58+'T9.8'!J58+'T9.8 (continued)'!B58+F58</f>
        <v>107.53399999999999</v>
      </c>
      <c r="K58" s="487">
        <f>'T9.8'!C58+'T9.8'!G58+'T9.8'!K58+'T9.8 (continued)'!C58+G58</f>
        <v>3.784</v>
      </c>
      <c r="L58" s="487">
        <f t="shared" si="10"/>
        <v>111.318</v>
      </c>
      <c r="M58" s="313"/>
      <c r="O58" s="314"/>
      <c r="Q58" s="313"/>
      <c r="S58" s="313"/>
    </row>
    <row r="59" spans="1:19" ht="15.75">
      <c r="A59" s="180" t="s">
        <v>360</v>
      </c>
      <c r="B59" s="516">
        <v>5.896</v>
      </c>
      <c r="C59" s="516">
        <v>0</v>
      </c>
      <c r="D59" s="517">
        <f t="shared" si="8"/>
        <v>5.896</v>
      </c>
      <c r="E59" s="233"/>
      <c r="F59" s="516">
        <v>0</v>
      </c>
      <c r="G59" s="516">
        <v>0</v>
      </c>
      <c r="H59" s="517">
        <f t="shared" si="9"/>
        <v>0</v>
      </c>
      <c r="I59" s="516"/>
      <c r="J59" s="487">
        <f>'T9.8'!B59+'T9.8'!F59+'T9.8'!J59+'T9.8 (continued)'!B59+F59</f>
        <v>7.103</v>
      </c>
      <c r="K59" s="487">
        <f>'T9.8'!C59+'T9.8'!G59+'T9.8'!K59+'T9.8 (continued)'!C59+G59</f>
        <v>605.4259999999999</v>
      </c>
      <c r="L59" s="487">
        <f t="shared" si="10"/>
        <v>612.5289999999999</v>
      </c>
      <c r="M59" s="313"/>
      <c r="O59" s="314"/>
      <c r="Q59" s="313"/>
      <c r="S59" s="313"/>
    </row>
    <row r="60" spans="1:19" ht="15.75">
      <c r="A60" s="180" t="s">
        <v>590</v>
      </c>
      <c r="B60" s="516">
        <v>3.964</v>
      </c>
      <c r="C60" s="516">
        <v>0</v>
      </c>
      <c r="D60" s="517">
        <f t="shared" si="8"/>
        <v>3.964</v>
      </c>
      <c r="E60" s="233"/>
      <c r="F60" s="516">
        <v>0</v>
      </c>
      <c r="G60" s="516">
        <v>0</v>
      </c>
      <c r="H60" s="517">
        <f t="shared" si="9"/>
        <v>0</v>
      </c>
      <c r="I60" s="516"/>
      <c r="J60" s="487">
        <f>'T9.8'!B60+'T9.8'!F60+'T9.8'!J60+'T9.8 (continued)'!B60+F60</f>
        <v>72.323</v>
      </c>
      <c r="K60" s="487">
        <f>'T9.8'!C60+'T9.8'!G60+'T9.8'!K60+'T9.8 (continued)'!C60+G60</f>
        <v>461.716</v>
      </c>
      <c r="L60" s="487">
        <f t="shared" si="10"/>
        <v>534.039</v>
      </c>
      <c r="M60" s="313"/>
      <c r="O60" s="314"/>
      <c r="Q60" s="313"/>
      <c r="S60" s="313"/>
    </row>
    <row r="61" spans="1:19" ht="15.75">
      <c r="A61" s="180" t="s">
        <v>362</v>
      </c>
      <c r="B61" s="516">
        <v>0</v>
      </c>
      <c r="C61" s="516">
        <v>0</v>
      </c>
      <c r="D61" s="517">
        <f t="shared" si="8"/>
        <v>0</v>
      </c>
      <c r="E61" s="233"/>
      <c r="F61" s="516">
        <v>0</v>
      </c>
      <c r="G61" s="516">
        <v>0</v>
      </c>
      <c r="H61" s="517">
        <f t="shared" si="9"/>
        <v>0</v>
      </c>
      <c r="I61" s="516"/>
      <c r="J61" s="487">
        <f>'T9.8'!B61+'T9.8'!F61+'T9.8'!J61+'T9.8 (continued)'!B61+F61</f>
        <v>2074.254</v>
      </c>
      <c r="K61" s="487">
        <f>'T9.8'!C61+'T9.8'!G61+'T9.8'!K61+'T9.8 (continued)'!C61+G61</f>
        <v>0</v>
      </c>
      <c r="L61" s="487">
        <f t="shared" si="10"/>
        <v>2074.254</v>
      </c>
      <c r="M61" s="313"/>
      <c r="O61" s="314"/>
      <c r="Q61" s="313"/>
      <c r="S61" s="313"/>
    </row>
    <row r="62" spans="1:19" ht="15.75">
      <c r="A62" s="180" t="s">
        <v>646</v>
      </c>
      <c r="B62" s="516">
        <v>0.002</v>
      </c>
      <c r="C62" s="516">
        <v>0</v>
      </c>
      <c r="D62" s="517">
        <f t="shared" si="8"/>
        <v>0.002</v>
      </c>
      <c r="E62" s="233"/>
      <c r="F62" s="516">
        <v>0</v>
      </c>
      <c r="G62" s="516">
        <v>0</v>
      </c>
      <c r="H62" s="517">
        <f t="shared" si="9"/>
        <v>0</v>
      </c>
      <c r="I62" s="516"/>
      <c r="J62" s="487">
        <f>'T9.8'!B62+'T9.8'!F62+'T9.8'!J62+'T9.8 (continued)'!B62+F62</f>
        <v>0.002</v>
      </c>
      <c r="K62" s="487">
        <f>'T9.8'!C62+'T9.8'!G62+'T9.8'!K62+'T9.8 (continued)'!C62+G62</f>
        <v>0</v>
      </c>
      <c r="L62" s="487">
        <f t="shared" si="10"/>
        <v>0.002</v>
      </c>
      <c r="M62" s="313"/>
      <c r="O62" s="314"/>
      <c r="Q62" s="313"/>
      <c r="S62" s="313"/>
    </row>
    <row r="63" spans="1:19" ht="15.75">
      <c r="A63" s="180" t="s">
        <v>363</v>
      </c>
      <c r="B63" s="516">
        <v>0.556</v>
      </c>
      <c r="C63" s="516">
        <v>0</v>
      </c>
      <c r="D63" s="517">
        <f t="shared" si="8"/>
        <v>0.556</v>
      </c>
      <c r="E63" s="233"/>
      <c r="F63" s="516">
        <v>0</v>
      </c>
      <c r="G63" s="516">
        <v>0</v>
      </c>
      <c r="H63" s="517">
        <f t="shared" si="9"/>
        <v>0</v>
      </c>
      <c r="I63" s="516"/>
      <c r="J63" s="487">
        <f>'T9.8'!B63+'T9.8'!F63+'T9.8'!J63+'T9.8 (continued)'!B63+F63</f>
        <v>5.989000000000001</v>
      </c>
      <c r="K63" s="487">
        <f>'T9.8'!C63+'T9.8'!G63+'T9.8'!K63+'T9.8 (continued)'!C63+G63</f>
        <v>0</v>
      </c>
      <c r="L63" s="487">
        <f t="shared" si="10"/>
        <v>5.989000000000001</v>
      </c>
      <c r="M63" s="313"/>
      <c r="O63" s="314"/>
      <c r="Q63" s="313"/>
      <c r="S63" s="313"/>
    </row>
    <row r="64" spans="1:19" ht="15.75">
      <c r="A64" s="180" t="s">
        <v>366</v>
      </c>
      <c r="B64" s="516">
        <v>12.084</v>
      </c>
      <c r="C64" s="516">
        <v>0</v>
      </c>
      <c r="D64" s="517">
        <f t="shared" si="8"/>
        <v>12.084</v>
      </c>
      <c r="E64" s="233"/>
      <c r="F64" s="516">
        <v>0</v>
      </c>
      <c r="G64" s="516">
        <v>0</v>
      </c>
      <c r="H64" s="517">
        <f t="shared" si="9"/>
        <v>0</v>
      </c>
      <c r="I64" s="516"/>
      <c r="J64" s="487">
        <f>'T9.8'!B64+'T9.8'!F64+'T9.8'!J64+'T9.8 (continued)'!B64+F64</f>
        <v>1069.682</v>
      </c>
      <c r="K64" s="487">
        <f>'T9.8'!C64+'T9.8'!G64+'T9.8'!K64+'T9.8 (continued)'!C64+G64</f>
        <v>3014.8759999999997</v>
      </c>
      <c r="L64" s="487">
        <f t="shared" si="10"/>
        <v>4084.558</v>
      </c>
      <c r="M64" s="313"/>
      <c r="O64" s="314"/>
      <c r="Q64" s="313"/>
      <c r="S64" s="313"/>
    </row>
    <row r="65" spans="1:19" s="2" customFormat="1" ht="15.75">
      <c r="A65" s="180" t="s">
        <v>367</v>
      </c>
      <c r="B65" s="516">
        <v>0</v>
      </c>
      <c r="C65" s="516">
        <v>0</v>
      </c>
      <c r="D65" s="517">
        <f t="shared" si="8"/>
        <v>0</v>
      </c>
      <c r="E65" s="233"/>
      <c r="F65" s="516">
        <v>0</v>
      </c>
      <c r="G65" s="516">
        <v>0</v>
      </c>
      <c r="H65" s="517">
        <f t="shared" si="9"/>
        <v>0</v>
      </c>
      <c r="I65" s="516"/>
      <c r="J65" s="487">
        <f>'T9.8'!B65+'T9.8'!F65+'T9.8'!J65+'T9.8 (continued)'!B65+F65</f>
        <v>329.914</v>
      </c>
      <c r="K65" s="487">
        <f>'T9.8'!C65+'T9.8'!G65+'T9.8'!K65+'T9.8 (continued)'!C65+G65</f>
        <v>0</v>
      </c>
      <c r="L65" s="487">
        <f t="shared" si="10"/>
        <v>329.914</v>
      </c>
      <c r="M65" s="313"/>
      <c r="O65" s="314"/>
      <c r="Q65" s="313"/>
      <c r="S65" s="313"/>
    </row>
    <row r="66" spans="1:19" ht="18" customHeight="1">
      <c r="A66" s="333" t="s">
        <v>441</v>
      </c>
      <c r="B66" s="517">
        <f>SUM(B56:B65)</f>
        <v>26.478</v>
      </c>
      <c r="C66" s="517">
        <f aca="true" t="shared" si="11" ref="C66:H66">SUM(C56:C65)</f>
        <v>0</v>
      </c>
      <c r="D66" s="517">
        <f t="shared" si="11"/>
        <v>26.478</v>
      </c>
      <c r="E66" s="517"/>
      <c r="F66" s="517">
        <f t="shared" si="11"/>
        <v>0</v>
      </c>
      <c r="G66" s="517">
        <f t="shared" si="11"/>
        <v>0</v>
      </c>
      <c r="H66" s="517">
        <f t="shared" si="11"/>
        <v>0</v>
      </c>
      <c r="I66" s="517"/>
      <c r="J66" s="487">
        <f>'T9.8'!B66+'T9.8'!F66+'T9.8'!J66+'T9.8 (continued)'!B66+F66</f>
        <v>3752.4110000000005</v>
      </c>
      <c r="K66" s="487">
        <f>'T9.8'!C66+'T9.8'!G66+'T9.8'!K66+'T9.8 (continued)'!C66+G66</f>
        <v>4255.994</v>
      </c>
      <c r="L66" s="487">
        <f t="shared" si="10"/>
        <v>8008.405000000001</v>
      </c>
      <c r="M66" s="313"/>
      <c r="N66" s="490"/>
      <c r="O66" s="314"/>
      <c r="Q66" s="313"/>
      <c r="S66" s="313"/>
    </row>
    <row r="67" spans="1:12" ht="6" customHeight="1">
      <c r="A67" s="33"/>
      <c r="B67" s="519"/>
      <c r="C67" s="519"/>
      <c r="D67" s="539"/>
      <c r="E67" s="519"/>
      <c r="F67" s="519"/>
      <c r="G67" s="519"/>
      <c r="H67" s="539"/>
      <c r="I67" s="519"/>
      <c r="J67" s="487"/>
      <c r="K67" s="487"/>
      <c r="L67" s="487"/>
    </row>
    <row r="68" spans="1:12" ht="18" customHeight="1">
      <c r="A68" s="317" t="s">
        <v>573</v>
      </c>
      <c r="B68" s="68"/>
      <c r="C68" s="32"/>
      <c r="D68" s="397"/>
      <c r="E68" s="32"/>
      <c r="F68" s="32"/>
      <c r="G68" s="32"/>
      <c r="H68" s="397"/>
      <c r="I68" s="32"/>
      <c r="J68" s="487"/>
      <c r="K68" s="487"/>
      <c r="L68" s="487"/>
    </row>
    <row r="69" spans="1:19" ht="15.75">
      <c r="A69" s="180" t="s">
        <v>647</v>
      </c>
      <c r="B69" s="516">
        <v>4.865</v>
      </c>
      <c r="C69" s="516">
        <v>0</v>
      </c>
      <c r="D69" s="517">
        <f aca="true" t="shared" si="12" ref="D69:D77">SUM(B69:C69)</f>
        <v>4.865</v>
      </c>
      <c r="E69" s="32"/>
      <c r="F69" s="516">
        <v>0</v>
      </c>
      <c r="G69" s="516">
        <v>0</v>
      </c>
      <c r="H69" s="517">
        <f aca="true" t="shared" si="13" ref="H69:H77">SUM(F69:G69)</f>
        <v>0</v>
      </c>
      <c r="I69" s="516"/>
      <c r="J69" s="487">
        <f>'T9.8'!B69+'T9.8'!F69+'T9.8'!J69+'T9.8 (continued)'!B69+F69</f>
        <v>15.672</v>
      </c>
      <c r="K69" s="487">
        <f>'T9.8'!C69+'T9.8'!G69+'T9.8'!K69+'T9.8 (continued)'!C69+G69</f>
        <v>0</v>
      </c>
      <c r="L69" s="487">
        <f aca="true" t="shared" si="14" ref="L69:L79">SUM(J69:K69)</f>
        <v>15.672</v>
      </c>
      <c r="M69" s="313"/>
      <c r="O69" s="314"/>
      <c r="Q69" s="313"/>
      <c r="S69" s="313"/>
    </row>
    <row r="70" spans="1:19" ht="15.75">
      <c r="A70" s="180" t="s">
        <v>648</v>
      </c>
      <c r="B70" s="516">
        <v>0.703</v>
      </c>
      <c r="C70" s="516">
        <v>0</v>
      </c>
      <c r="D70" s="517">
        <f t="shared" si="12"/>
        <v>0.703</v>
      </c>
      <c r="E70" s="32"/>
      <c r="F70" s="516">
        <v>0</v>
      </c>
      <c r="G70" s="516">
        <v>0</v>
      </c>
      <c r="H70" s="517">
        <f t="shared" si="13"/>
        <v>0</v>
      </c>
      <c r="I70" s="516"/>
      <c r="J70" s="487">
        <f>'T9.8'!B70+'T9.8'!F70+'T9.8'!J70+'T9.8 (continued)'!B70+F70</f>
        <v>9.353</v>
      </c>
      <c r="K70" s="487">
        <f>'T9.8'!C70+'T9.8'!G70+'T9.8'!K70+'T9.8 (continued)'!C70+G70</f>
        <v>15.507</v>
      </c>
      <c r="L70" s="487">
        <f t="shared" si="14"/>
        <v>24.86</v>
      </c>
      <c r="M70" s="313"/>
      <c r="O70" s="314"/>
      <c r="Q70" s="313"/>
      <c r="S70" s="313"/>
    </row>
    <row r="71" spans="1:19" ht="15.75">
      <c r="A71" s="180" t="s">
        <v>361</v>
      </c>
      <c r="B71" s="516">
        <v>48.201</v>
      </c>
      <c r="C71" s="516">
        <v>0</v>
      </c>
      <c r="D71" s="517">
        <f t="shared" si="12"/>
        <v>48.201</v>
      </c>
      <c r="E71" s="32"/>
      <c r="F71" s="516">
        <v>0</v>
      </c>
      <c r="G71" s="516">
        <v>0</v>
      </c>
      <c r="H71" s="517">
        <f t="shared" si="13"/>
        <v>0</v>
      </c>
      <c r="I71" s="516"/>
      <c r="J71" s="487">
        <f>'T9.8'!B71+'T9.8'!F71+'T9.8'!J71+'T9.8 (continued)'!B71+F71</f>
        <v>50.983000000000004</v>
      </c>
      <c r="K71" s="487">
        <f>'T9.8'!C71+'T9.8'!G71+'T9.8'!K71+'T9.8 (continued)'!C71+G71</f>
        <v>0</v>
      </c>
      <c r="L71" s="487">
        <f t="shared" si="14"/>
        <v>50.983000000000004</v>
      </c>
      <c r="M71" s="313"/>
      <c r="O71" s="314"/>
      <c r="Q71" s="313"/>
      <c r="S71" s="313"/>
    </row>
    <row r="72" spans="1:19" ht="17.25" customHeight="1">
      <c r="A72" s="180" t="s">
        <v>19</v>
      </c>
      <c r="B72" s="516">
        <v>2.031</v>
      </c>
      <c r="C72" s="516">
        <v>0</v>
      </c>
      <c r="D72" s="517">
        <f t="shared" si="12"/>
        <v>2.031</v>
      </c>
      <c r="E72" s="32"/>
      <c r="F72" s="516">
        <v>0</v>
      </c>
      <c r="G72" s="516">
        <v>0</v>
      </c>
      <c r="H72" s="517">
        <f t="shared" si="13"/>
        <v>0</v>
      </c>
      <c r="I72" s="516"/>
      <c r="J72" s="487">
        <f>'T9.8'!B72+'T9.8'!F72+'T9.8'!J72+'T9.8 (continued)'!B72+F72</f>
        <v>2.031</v>
      </c>
      <c r="K72" s="487">
        <f>'T9.8'!C72+'T9.8'!G72+'T9.8'!K72+'T9.8 (continued)'!C72+G72</f>
        <v>0</v>
      </c>
      <c r="L72" s="487">
        <f t="shared" si="14"/>
        <v>2.031</v>
      </c>
      <c r="M72" s="313"/>
      <c r="O72" s="314"/>
      <c r="Q72" s="313"/>
      <c r="S72" s="313"/>
    </row>
    <row r="73" spans="1:19" ht="18" customHeight="1">
      <c r="A73" s="180" t="s">
        <v>579</v>
      </c>
      <c r="B73" s="516">
        <v>4.245</v>
      </c>
      <c r="C73" s="516">
        <v>0</v>
      </c>
      <c r="D73" s="517">
        <f t="shared" si="12"/>
        <v>4.245</v>
      </c>
      <c r="E73" s="32"/>
      <c r="F73" s="516">
        <v>0</v>
      </c>
      <c r="G73" s="516">
        <v>0</v>
      </c>
      <c r="H73" s="517">
        <f t="shared" si="13"/>
        <v>0</v>
      </c>
      <c r="I73" s="516"/>
      <c r="J73" s="487">
        <f>'T9.8'!B73+'T9.8'!F73+'T9.8'!J73+'T9.8 (continued)'!B73+F73</f>
        <v>10.801</v>
      </c>
      <c r="K73" s="487">
        <f>'T9.8'!C73+'T9.8'!G73+'T9.8'!K73+'T9.8 (continued)'!C73+G73</f>
        <v>0</v>
      </c>
      <c r="L73" s="487">
        <f t="shared" si="14"/>
        <v>10.801</v>
      </c>
      <c r="M73" s="313"/>
      <c r="O73" s="314"/>
      <c r="Q73" s="313"/>
      <c r="S73" s="313"/>
    </row>
    <row r="74" spans="1:19" ht="15.75">
      <c r="A74" s="180" t="s">
        <v>625</v>
      </c>
      <c r="B74" s="516">
        <v>0.14</v>
      </c>
      <c r="C74" s="516">
        <v>0</v>
      </c>
      <c r="D74" s="517">
        <f t="shared" si="12"/>
        <v>0.14</v>
      </c>
      <c r="E74" s="32"/>
      <c r="F74" s="516">
        <v>0</v>
      </c>
      <c r="G74" s="516">
        <v>0</v>
      </c>
      <c r="H74" s="517">
        <f t="shared" si="13"/>
        <v>0</v>
      </c>
      <c r="I74" s="516"/>
      <c r="J74" s="487">
        <f>'T9.8'!B74+'T9.8'!F74+'T9.8'!J74+'T9.8 (continued)'!B74+F74</f>
        <v>3.702</v>
      </c>
      <c r="K74" s="487">
        <f>'T9.8'!C74+'T9.8'!G74+'T9.8'!K74+'T9.8 (continued)'!C74+G74</f>
        <v>0</v>
      </c>
      <c r="L74" s="487">
        <f t="shared" si="14"/>
        <v>3.702</v>
      </c>
      <c r="M74" s="313"/>
      <c r="O74" s="314"/>
      <c r="Q74" s="313"/>
      <c r="S74" s="313"/>
    </row>
    <row r="75" spans="1:19" ht="15.75">
      <c r="A75" s="180" t="s">
        <v>649</v>
      </c>
      <c r="B75" s="516">
        <v>5.024</v>
      </c>
      <c r="C75" s="516">
        <v>0</v>
      </c>
      <c r="D75" s="517">
        <f t="shared" si="12"/>
        <v>5.024</v>
      </c>
      <c r="E75" s="32"/>
      <c r="F75" s="516">
        <v>0</v>
      </c>
      <c r="G75" s="516">
        <v>0</v>
      </c>
      <c r="H75" s="517">
        <f t="shared" si="13"/>
        <v>0</v>
      </c>
      <c r="I75" s="516"/>
      <c r="J75" s="487">
        <f>'T9.8'!B75+'T9.8'!F75+'T9.8'!J75+'T9.8 (continued)'!B75+F75</f>
        <v>5.096</v>
      </c>
      <c r="K75" s="487">
        <f>'T9.8'!C75+'T9.8'!G75+'T9.8'!K75+'T9.8 (continued)'!C75+G75</f>
        <v>0</v>
      </c>
      <c r="L75" s="487">
        <f t="shared" si="14"/>
        <v>5.096</v>
      </c>
      <c r="M75" s="313"/>
      <c r="O75" s="314"/>
      <c r="Q75" s="313"/>
      <c r="S75" s="313"/>
    </row>
    <row r="76" spans="1:19" ht="15.75">
      <c r="A76" s="180" t="s">
        <v>574</v>
      </c>
      <c r="B76" s="516">
        <v>0.902</v>
      </c>
      <c r="C76" s="516">
        <v>0.134</v>
      </c>
      <c r="D76" s="517">
        <f t="shared" si="12"/>
        <v>1.036</v>
      </c>
      <c r="E76" s="32"/>
      <c r="F76" s="516">
        <v>0</v>
      </c>
      <c r="G76" s="516">
        <v>0</v>
      </c>
      <c r="H76" s="517">
        <f t="shared" si="13"/>
        <v>0</v>
      </c>
      <c r="I76" s="516"/>
      <c r="J76" s="487">
        <f>'T9.8'!B76+'T9.8'!F76+'T9.8'!J76+'T9.8 (continued)'!B76+F76</f>
        <v>27.062</v>
      </c>
      <c r="K76" s="487">
        <f>'T9.8'!C76+'T9.8'!G76+'T9.8'!K76+'T9.8 (continued)'!C76+G76</f>
        <v>0.974</v>
      </c>
      <c r="L76" s="487">
        <f t="shared" si="14"/>
        <v>28.036</v>
      </c>
      <c r="M76" s="313"/>
      <c r="O76" s="314"/>
      <c r="Q76" s="313"/>
      <c r="S76" s="313"/>
    </row>
    <row r="77" spans="1:19" ht="15.75">
      <c r="A77" s="180" t="s">
        <v>726</v>
      </c>
      <c r="B77" s="516">
        <v>0.392</v>
      </c>
      <c r="C77" s="516">
        <v>0</v>
      </c>
      <c r="D77" s="517">
        <f t="shared" si="12"/>
        <v>0.392</v>
      </c>
      <c r="E77" s="32"/>
      <c r="F77" s="516">
        <v>0</v>
      </c>
      <c r="G77" s="516">
        <v>0</v>
      </c>
      <c r="H77" s="517">
        <f t="shared" si="13"/>
        <v>0</v>
      </c>
      <c r="I77" s="516"/>
      <c r="J77" s="487">
        <f>'T9.8'!B77+'T9.8'!F77+'T9.8'!J77+'T9.8 (continued)'!B77+F77</f>
        <v>0.883</v>
      </c>
      <c r="K77" s="487">
        <f>'T9.8'!C77+'T9.8'!G77+'T9.8'!K77+'T9.8 (continued)'!C77+G77</f>
        <v>372.232</v>
      </c>
      <c r="L77" s="487">
        <f>SUM(J77:K77)</f>
        <v>373.115</v>
      </c>
      <c r="M77" s="313"/>
      <c r="O77" s="314"/>
      <c r="Q77" s="313"/>
      <c r="S77" s="313"/>
    </row>
    <row r="78" spans="2:19" ht="15.75">
      <c r="B78" s="516"/>
      <c r="C78" s="516"/>
      <c r="D78" s="517"/>
      <c r="E78" s="32"/>
      <c r="F78" s="516"/>
      <c r="G78" s="516"/>
      <c r="H78" s="517"/>
      <c r="I78" s="516"/>
      <c r="J78" s="487"/>
      <c r="K78" s="487"/>
      <c r="L78" s="487"/>
      <c r="M78" s="313"/>
      <c r="O78" s="314"/>
      <c r="Q78" s="313"/>
      <c r="S78" s="313"/>
    </row>
    <row r="79" spans="1:29" ht="15.75">
      <c r="A79" s="315" t="s">
        <v>578</v>
      </c>
      <c r="B79" s="517">
        <f>SUM(B69:B77)</f>
        <v>66.50299999999999</v>
      </c>
      <c r="C79" s="517">
        <f>SUM(C69:C77)</f>
        <v>0.134</v>
      </c>
      <c r="D79" s="517">
        <f>SUM(D69:D77)</f>
        <v>66.63699999999999</v>
      </c>
      <c r="E79" s="517"/>
      <c r="F79" s="517">
        <f>SUM(F69:F77)</f>
        <v>0</v>
      </c>
      <c r="G79" s="517">
        <f>SUM(G69:G77)</f>
        <v>0</v>
      </c>
      <c r="H79" s="517">
        <f>SUM(H69:H77)</f>
        <v>0</v>
      </c>
      <c r="I79" s="516"/>
      <c r="J79" s="487">
        <f>'T9.8'!B78+'T9.8'!F78+'T9.8'!J78+'T9.8 (continued)'!B79+F79</f>
        <v>125.58299999999998</v>
      </c>
      <c r="K79" s="487">
        <f>'T9.8'!C78+'T9.8'!G78+'T9.8'!K78+'T9.8 (continued)'!C79+G79</f>
        <v>388.713</v>
      </c>
      <c r="L79" s="487">
        <f t="shared" si="14"/>
        <v>514.296</v>
      </c>
      <c r="M79" s="313"/>
      <c r="O79" s="314"/>
      <c r="Q79" s="313"/>
      <c r="S79" s="313"/>
      <c r="AB79" s="180">
        <v>0</v>
      </c>
      <c r="AC79" s="180">
        <v>0</v>
      </c>
    </row>
    <row r="80" spans="1:29" ht="6" customHeight="1">
      <c r="A80" s="143"/>
      <c r="B80" s="68" t="s">
        <v>292</v>
      </c>
      <c r="C80" s="32"/>
      <c r="D80" s="397" t="s">
        <v>292</v>
      </c>
      <c r="E80" s="32"/>
      <c r="F80" s="32"/>
      <c r="G80" s="32"/>
      <c r="H80" s="397" t="s">
        <v>292</v>
      </c>
      <c r="I80" s="32"/>
      <c r="J80" s="487" t="s">
        <v>292</v>
      </c>
      <c r="K80" s="487" t="s">
        <v>292</v>
      </c>
      <c r="L80" s="487" t="s">
        <v>292</v>
      </c>
      <c r="AB80" s="180">
        <v>0</v>
      </c>
      <c r="AC80" s="180">
        <v>0</v>
      </c>
    </row>
    <row r="81" spans="1:29" ht="18" customHeight="1">
      <c r="A81" s="2" t="s">
        <v>368</v>
      </c>
      <c r="B81" s="516"/>
      <c r="C81" s="517"/>
      <c r="D81" s="517">
        <f>SUM(B81:C81)</f>
        <v>0</v>
      </c>
      <c r="E81" s="32"/>
      <c r="F81" s="517"/>
      <c r="G81" s="517"/>
      <c r="H81" s="517">
        <f>SUM(F81:G81)</f>
        <v>0</v>
      </c>
      <c r="I81" s="516"/>
      <c r="J81" s="487">
        <f>'T9.8'!B80+'T9.8'!F80+'T9.8'!J80+'T9.8 (continued)'!B81+F81</f>
        <v>0</v>
      </c>
      <c r="K81" s="487">
        <f>'T9.8'!C80+'T9.8'!G80+'T9.8'!K80+'T9.8 (continued)'!C81+G81</f>
        <v>0</v>
      </c>
      <c r="L81" s="487">
        <f>SUM(J81:K81)</f>
        <v>0</v>
      </c>
      <c r="M81" s="313"/>
      <c r="O81" s="314"/>
      <c r="Q81" s="313"/>
      <c r="S81" s="313"/>
      <c r="AB81" s="180">
        <v>0</v>
      </c>
      <c r="AC81" s="180">
        <v>0</v>
      </c>
    </row>
    <row r="82" spans="1:29" ht="6" customHeight="1">
      <c r="A82" s="25"/>
      <c r="B82" s="68" t="s">
        <v>292</v>
      </c>
      <c r="C82" s="32"/>
      <c r="D82" s="397" t="s">
        <v>292</v>
      </c>
      <c r="E82" s="32"/>
      <c r="F82" s="32" t="s">
        <v>292</v>
      </c>
      <c r="G82" s="32" t="s">
        <v>292</v>
      </c>
      <c r="H82" s="397" t="s">
        <v>292</v>
      </c>
      <c r="I82" s="32"/>
      <c r="J82" s="487" t="s">
        <v>292</v>
      </c>
      <c r="K82" s="487" t="s">
        <v>292</v>
      </c>
      <c r="L82" s="487" t="s">
        <v>292</v>
      </c>
      <c r="AB82" s="180" t="s">
        <v>152</v>
      </c>
      <c r="AC82" s="180" t="s">
        <v>152</v>
      </c>
    </row>
    <row r="83" spans="1:29" ht="15.75">
      <c r="A83" s="2" t="s">
        <v>369</v>
      </c>
      <c r="B83" s="517">
        <f>B28+B42+B53+B66+B79+B81</f>
        <v>589.3990000000001</v>
      </c>
      <c r="C83" s="517">
        <f>C28+C42+C53+C66+C79+C81</f>
        <v>1626.336</v>
      </c>
      <c r="D83" s="517">
        <f>D28+D42+D53+D66+D79+D81</f>
        <v>2215.735</v>
      </c>
      <c r="E83" s="517"/>
      <c r="F83" s="517">
        <f>F28+F42+F53+F66+F79+F81</f>
        <v>415.164</v>
      </c>
      <c r="G83" s="517">
        <f>G28+G42+G53+G66+G79+G81</f>
        <v>237.874</v>
      </c>
      <c r="H83" s="517">
        <f>H28+H42+H53+H66+H79+H81</f>
        <v>653.038</v>
      </c>
      <c r="I83" s="517"/>
      <c r="J83" s="487">
        <f>'T9.8'!B82+'T9.8'!F82+'T9.8'!J82+'T9.8 (continued)'!B83+F83</f>
        <v>14215.005</v>
      </c>
      <c r="K83" s="487">
        <f>'T9.8'!C82+'T9.8'!G82+'T9.8'!K82+'T9.8 (continued)'!C83+G83</f>
        <v>33358.173</v>
      </c>
      <c r="L83" s="487">
        <f>SUM(J83:K83)</f>
        <v>47573.178</v>
      </c>
      <c r="M83" s="485"/>
      <c r="O83" s="314"/>
      <c r="Q83" s="313"/>
      <c r="S83" s="313"/>
      <c r="AB83" s="180">
        <v>2</v>
      </c>
      <c r="AC83" s="180">
        <v>0</v>
      </c>
    </row>
    <row r="84" spans="1:12" ht="6.75" customHeight="1">
      <c r="A84" s="25"/>
      <c r="B84" s="68" t="s">
        <v>335</v>
      </c>
      <c r="C84" s="32"/>
      <c r="D84" s="397" t="s">
        <v>292</v>
      </c>
      <c r="E84" s="32"/>
      <c r="F84" s="32" t="s">
        <v>292</v>
      </c>
      <c r="G84" s="32" t="s">
        <v>292</v>
      </c>
      <c r="H84" s="397" t="s">
        <v>292</v>
      </c>
      <c r="I84" s="32"/>
      <c r="J84" s="487"/>
      <c r="K84" s="487"/>
      <c r="L84" s="487"/>
    </row>
    <row r="85" spans="1:19" ht="15.75">
      <c r="A85" s="2" t="s">
        <v>370</v>
      </c>
      <c r="B85" s="68">
        <v>192.523</v>
      </c>
      <c r="C85" s="32">
        <v>433.435</v>
      </c>
      <c r="D85" s="517">
        <f>SUM(B85:C85)</f>
        <v>625.958</v>
      </c>
      <c r="E85" s="32"/>
      <c r="F85" s="32">
        <v>2080.267</v>
      </c>
      <c r="G85" s="32">
        <v>2224.481</v>
      </c>
      <c r="H85" s="517">
        <f>SUM(F85:G85)</f>
        <v>4304.748</v>
      </c>
      <c r="I85" s="32"/>
      <c r="J85" s="487">
        <f>'T9.8'!B84+'T9.8'!F84+'T9.8'!J84+'T9.8 (continued)'!B85+F85</f>
        <v>7999.593</v>
      </c>
      <c r="K85" s="487">
        <f>'T9.8'!C84+'T9.8'!G84+'T9.8'!K84+'T9.8 (continued)'!C85+G85</f>
        <v>18378.259</v>
      </c>
      <c r="L85" s="487">
        <f>SUM(J85:K85)</f>
        <v>26377.852</v>
      </c>
      <c r="M85" s="313"/>
      <c r="N85" s="490"/>
      <c r="O85" s="314"/>
      <c r="Q85" s="313"/>
      <c r="S85" s="313"/>
    </row>
    <row r="86" spans="1:12" ht="6" customHeight="1">
      <c r="A86" s="25"/>
      <c r="B86" s="32"/>
      <c r="C86" s="32"/>
      <c r="D86" s="397"/>
      <c r="E86" s="32"/>
      <c r="F86" s="32"/>
      <c r="G86" s="32"/>
      <c r="H86" s="397"/>
      <c r="I86" s="31"/>
      <c r="J86" s="487"/>
      <c r="K86" s="487"/>
      <c r="L86" s="487"/>
    </row>
    <row r="87" spans="1:19" ht="15.75">
      <c r="A87" s="293" t="s">
        <v>371</v>
      </c>
      <c r="B87" s="488">
        <f>B85+B83</f>
        <v>781.9220000000001</v>
      </c>
      <c r="C87" s="542">
        <f>C85+C83</f>
        <v>2059.771</v>
      </c>
      <c r="D87" s="542">
        <f>D85+D83</f>
        <v>2841.693</v>
      </c>
      <c r="E87" s="489"/>
      <c r="F87" s="488">
        <f>F85+F83</f>
        <v>2495.4309999999996</v>
      </c>
      <c r="G87" s="488">
        <f>G85+G83</f>
        <v>2462.355</v>
      </c>
      <c r="H87" s="542">
        <f>H85+H83</f>
        <v>4957.786</v>
      </c>
      <c r="I87" s="489"/>
      <c r="J87" s="488">
        <f>'T9.8'!B86+'T9.8'!F86+'T9.8'!J86+'T9.8 (continued)'!B87+F87</f>
        <v>22214.598</v>
      </c>
      <c r="K87" s="488">
        <f>'T9.8'!C86+'T9.8'!G86+'T9.8'!K86+'T9.8 (continued)'!C87+G87</f>
        <v>51736.43200000001</v>
      </c>
      <c r="L87" s="488">
        <f>SUM(J87:K87)</f>
        <v>73951.03000000001</v>
      </c>
      <c r="M87" s="318"/>
      <c r="O87" s="319"/>
      <c r="Q87" s="318"/>
      <c r="S87" s="318"/>
    </row>
    <row r="88" spans="2:12" ht="15"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</row>
    <row r="89" spans="1:12" s="330" customFormat="1" ht="12.75">
      <c r="A89" s="328" t="s">
        <v>576</v>
      </c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</row>
  </sheetData>
  <sheetProtection/>
  <printOptions/>
  <pageMargins left="0.8661417322834646" right="0.4724409448818898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zoomScale="75" zoomScaleNormal="75" zoomScalePageLayoutView="0" workbookViewId="0" topLeftCell="A3">
      <selection activeCell="A3" sqref="A3"/>
    </sheetView>
  </sheetViews>
  <sheetFormatPr defaultColWidth="9.140625" defaultRowHeight="12.75"/>
  <cols>
    <col min="1" max="1" width="31.28125" style="178" customWidth="1"/>
    <col min="2" max="10" width="7.140625" style="178" hidden="1" customWidth="1"/>
    <col min="11" max="11" width="7.8515625" style="178" hidden="1" customWidth="1"/>
    <col min="12" max="18" width="7.8515625" style="178" customWidth="1"/>
    <col min="19" max="20" width="7.8515625" style="240" customWidth="1"/>
    <col min="21" max="16384" width="9.140625" style="178" customWidth="1"/>
  </cols>
  <sheetData>
    <row r="1" spans="16:17" ht="15.75" hidden="1">
      <c r="P1" s="336"/>
      <c r="Q1" s="337" t="s">
        <v>496</v>
      </c>
    </row>
    <row r="2" ht="15" hidden="1"/>
    <row r="3" spans="1:19" ht="18">
      <c r="A3" s="178" t="s">
        <v>31</v>
      </c>
      <c r="S3" s="492" t="s">
        <v>641</v>
      </c>
    </row>
    <row r="4" spans="1:20" s="44" customFormat="1" ht="21">
      <c r="A4" s="525" t="s">
        <v>62</v>
      </c>
      <c r="B4" s="525"/>
      <c r="C4" s="525"/>
      <c r="D4" s="525"/>
      <c r="E4" s="525"/>
      <c r="F4" s="525"/>
      <c r="G4" s="525"/>
      <c r="H4" s="525"/>
      <c r="I4" s="525"/>
      <c r="J4" s="525"/>
      <c r="K4" s="64"/>
      <c r="L4" s="64"/>
      <c r="M4" s="64"/>
      <c r="N4" s="64"/>
      <c r="O4" s="64"/>
      <c r="P4" s="64"/>
      <c r="T4" s="62"/>
    </row>
    <row r="5" spans="1:21" ht="12" customHeight="1">
      <c r="A5" s="338" t="s">
        <v>30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U5" s="338"/>
    </row>
    <row r="6" spans="1:22" ht="21" customHeight="1">
      <c r="A6" s="361"/>
      <c r="B6" s="362">
        <v>1991</v>
      </c>
      <c r="C6" s="362">
        <v>1992</v>
      </c>
      <c r="D6" s="362">
        <v>1993</v>
      </c>
      <c r="E6" s="362">
        <v>1994</v>
      </c>
      <c r="F6" s="362">
        <v>1995</v>
      </c>
      <c r="G6" s="362">
        <v>1996</v>
      </c>
      <c r="H6" s="362">
        <v>1997</v>
      </c>
      <c r="I6" s="362">
        <v>1998</v>
      </c>
      <c r="J6" s="362">
        <v>1999</v>
      </c>
      <c r="K6" s="362">
        <v>2000</v>
      </c>
      <c r="L6" s="362">
        <v>2001</v>
      </c>
      <c r="M6" s="363">
        <v>2002</v>
      </c>
      <c r="N6" s="363">
        <v>2003</v>
      </c>
      <c r="O6" s="363">
        <v>2004</v>
      </c>
      <c r="P6" s="363">
        <v>2005</v>
      </c>
      <c r="Q6" s="363">
        <v>2006</v>
      </c>
      <c r="R6" s="363">
        <v>2007</v>
      </c>
      <c r="S6" s="363">
        <v>2008</v>
      </c>
      <c r="T6" s="363">
        <v>2009</v>
      </c>
      <c r="U6" s="363">
        <v>2010</v>
      </c>
      <c r="V6" s="363">
        <v>2011</v>
      </c>
    </row>
    <row r="7" spans="1:22" ht="21.75" customHeight="1">
      <c r="A7" s="339" t="s">
        <v>331</v>
      </c>
      <c r="B7" s="339"/>
      <c r="C7" s="339"/>
      <c r="D7" s="339"/>
      <c r="E7" s="339"/>
      <c r="F7" s="339"/>
      <c r="G7" s="339"/>
      <c r="H7" s="339"/>
      <c r="I7" s="339"/>
      <c r="J7" s="339"/>
      <c r="M7" s="340"/>
      <c r="N7" s="341"/>
      <c r="O7" s="240"/>
      <c r="P7" s="240"/>
      <c r="Q7" s="342"/>
      <c r="R7" s="358"/>
      <c r="S7" s="358"/>
      <c r="T7" s="358"/>
      <c r="U7" s="358"/>
      <c r="V7" s="358" t="s">
        <v>174</v>
      </c>
    </row>
    <row r="8" spans="1:22" ht="18" customHeight="1">
      <c r="A8" s="178" t="s">
        <v>175</v>
      </c>
      <c r="B8" s="47">
        <v>52</v>
      </c>
      <c r="C8" s="47">
        <v>87</v>
      </c>
      <c r="D8" s="47">
        <v>96</v>
      </c>
      <c r="E8" s="604">
        <v>108</v>
      </c>
      <c r="F8" s="47">
        <v>100</v>
      </c>
      <c r="G8" s="47">
        <v>82</v>
      </c>
      <c r="H8" s="49">
        <v>86</v>
      </c>
      <c r="I8" s="62">
        <v>84</v>
      </c>
      <c r="J8" s="44">
        <v>91</v>
      </c>
      <c r="K8" s="178">
        <v>113</v>
      </c>
      <c r="L8" s="178">
        <v>167</v>
      </c>
      <c r="M8" s="240">
        <v>179</v>
      </c>
      <c r="N8" s="240">
        <v>205</v>
      </c>
      <c r="O8" s="243">
        <v>208.765</v>
      </c>
      <c r="P8" s="243">
        <v>222.53</v>
      </c>
      <c r="Q8" s="243">
        <v>232</v>
      </c>
      <c r="R8" s="243">
        <v>250</v>
      </c>
      <c r="S8" s="243">
        <v>251.999</v>
      </c>
      <c r="T8" s="243">
        <v>251.368</v>
      </c>
      <c r="U8" s="243">
        <v>242.486</v>
      </c>
      <c r="V8" s="243">
        <v>268.851</v>
      </c>
    </row>
    <row r="9" spans="1:22" ht="18" customHeight="1">
      <c r="A9" s="178" t="s">
        <v>82</v>
      </c>
      <c r="B9" s="47">
        <v>300</v>
      </c>
      <c r="C9" s="47">
        <v>293</v>
      </c>
      <c r="D9" s="47">
        <v>342</v>
      </c>
      <c r="E9" s="604">
        <v>343</v>
      </c>
      <c r="F9" s="47">
        <v>356</v>
      </c>
      <c r="G9" s="47">
        <v>359</v>
      </c>
      <c r="H9" s="49">
        <v>387</v>
      </c>
      <c r="I9" s="62">
        <v>409</v>
      </c>
      <c r="J9" s="44">
        <v>408</v>
      </c>
      <c r="K9" s="178">
        <v>379</v>
      </c>
      <c r="L9" s="178">
        <v>406</v>
      </c>
      <c r="M9" s="240">
        <v>410</v>
      </c>
      <c r="N9" s="240">
        <v>423</v>
      </c>
      <c r="O9" s="243">
        <v>467.54</v>
      </c>
      <c r="P9" s="243">
        <v>472.47</v>
      </c>
      <c r="Q9" s="243">
        <v>456</v>
      </c>
      <c r="R9" s="243">
        <v>468</v>
      </c>
      <c r="S9" s="243">
        <v>462.505</v>
      </c>
      <c r="T9" s="243">
        <v>420.294</v>
      </c>
      <c r="U9" s="243">
        <v>427.456</v>
      </c>
      <c r="V9" s="243">
        <v>463.793</v>
      </c>
    </row>
    <row r="10" spans="1:22" ht="18" customHeight="1">
      <c r="A10" s="178" t="s">
        <v>146</v>
      </c>
      <c r="B10" s="47">
        <v>353</v>
      </c>
      <c r="C10" s="47">
        <v>380</v>
      </c>
      <c r="D10" s="47">
        <v>438</v>
      </c>
      <c r="E10" s="604">
        <v>451</v>
      </c>
      <c r="F10" s="47">
        <v>456</v>
      </c>
      <c r="G10" s="47">
        <v>441</v>
      </c>
      <c r="H10" s="49">
        <v>473</v>
      </c>
      <c r="I10" s="62">
        <v>493</v>
      </c>
      <c r="J10" s="44">
        <v>499</v>
      </c>
      <c r="K10" s="178">
        <v>492</v>
      </c>
      <c r="L10" s="178">
        <v>574</v>
      </c>
      <c r="M10" s="240">
        <v>590</v>
      </c>
      <c r="N10" s="240">
        <v>628</v>
      </c>
      <c r="O10" s="240">
        <v>676</v>
      </c>
      <c r="P10" s="240">
        <v>695</v>
      </c>
      <c r="Q10" s="240">
        <v>689</v>
      </c>
      <c r="R10" s="240">
        <v>718</v>
      </c>
      <c r="S10" s="243">
        <v>714.504</v>
      </c>
      <c r="T10" s="243">
        <v>671.662</v>
      </c>
      <c r="U10" s="243">
        <v>669.942</v>
      </c>
      <c r="V10" s="243">
        <v>732.644</v>
      </c>
    </row>
    <row r="11" spans="2:22" ht="18" customHeight="1">
      <c r="B11" s="605"/>
      <c r="C11" s="605"/>
      <c r="D11" s="605"/>
      <c r="E11" s="605"/>
      <c r="F11" s="605"/>
      <c r="G11" s="605"/>
      <c r="H11" s="605"/>
      <c r="I11" s="605"/>
      <c r="J11" s="605"/>
      <c r="K11" s="343" t="s">
        <v>292</v>
      </c>
      <c r="L11" s="343"/>
      <c r="N11" s="240"/>
      <c r="O11" s="240"/>
      <c r="P11" s="240"/>
      <c r="Q11" s="240"/>
      <c r="R11" s="240"/>
      <c r="U11" s="240"/>
      <c r="V11" s="240"/>
    </row>
    <row r="12" spans="1:22" ht="18" customHeight="1">
      <c r="A12" s="339" t="s">
        <v>176</v>
      </c>
      <c r="B12" s="47"/>
      <c r="C12" s="47"/>
      <c r="D12" s="47"/>
      <c r="E12" s="48"/>
      <c r="F12" s="44"/>
      <c r="G12" s="44"/>
      <c r="H12" s="606"/>
      <c r="I12" s="567"/>
      <c r="J12" s="567"/>
      <c r="M12" s="344"/>
      <c r="N12" s="345"/>
      <c r="O12" s="240"/>
      <c r="P12" s="240"/>
      <c r="Q12" s="241"/>
      <c r="R12" s="359"/>
      <c r="S12" s="359"/>
      <c r="T12" s="359"/>
      <c r="U12" s="359"/>
      <c r="V12" s="359" t="s">
        <v>177</v>
      </c>
    </row>
    <row r="13" spans="1:22" ht="18" customHeight="1">
      <c r="A13" s="178" t="s">
        <v>175</v>
      </c>
      <c r="B13" s="47">
        <v>806</v>
      </c>
      <c r="C13" s="47">
        <v>998</v>
      </c>
      <c r="D13" s="47">
        <v>1048</v>
      </c>
      <c r="E13" s="604">
        <v>1200</v>
      </c>
      <c r="F13" s="47">
        <v>1193</v>
      </c>
      <c r="G13" s="47">
        <v>1155</v>
      </c>
      <c r="H13" s="49">
        <v>1213</v>
      </c>
      <c r="I13" s="49">
        <v>1086</v>
      </c>
      <c r="J13" s="47">
        <v>1203</v>
      </c>
      <c r="K13" s="190">
        <v>1095</v>
      </c>
      <c r="L13" s="190">
        <v>1399</v>
      </c>
      <c r="M13" s="346">
        <v>2059</v>
      </c>
      <c r="N13" s="346">
        <v>2285</v>
      </c>
      <c r="O13" s="346">
        <v>2587.393278466602</v>
      </c>
      <c r="P13" s="346">
        <v>2590</v>
      </c>
      <c r="Q13" s="346">
        <v>2714</v>
      </c>
      <c r="R13" s="346">
        <v>3033</v>
      </c>
      <c r="S13" s="346">
        <v>3114.7870000000003</v>
      </c>
      <c r="T13" s="346">
        <v>2893.784</v>
      </c>
      <c r="U13" s="346">
        <v>2794.195</v>
      </c>
      <c r="V13" s="346">
        <v>2927.736</v>
      </c>
    </row>
    <row r="14" spans="1:22" ht="18" customHeight="1">
      <c r="A14" s="178" t="s">
        <v>82</v>
      </c>
      <c r="B14" s="47">
        <v>3398</v>
      </c>
      <c r="C14" s="47">
        <v>3373</v>
      </c>
      <c r="D14" s="47">
        <v>3504</v>
      </c>
      <c r="E14" s="604">
        <v>3747</v>
      </c>
      <c r="F14" s="47">
        <v>4546</v>
      </c>
      <c r="G14" s="47">
        <v>4445</v>
      </c>
      <c r="H14" s="49">
        <v>4983</v>
      </c>
      <c r="I14" s="49">
        <v>5153</v>
      </c>
      <c r="J14" s="47">
        <v>4918</v>
      </c>
      <c r="K14" s="190">
        <v>4349</v>
      </c>
      <c r="L14" s="190">
        <v>4157</v>
      </c>
      <c r="M14" s="346">
        <v>4203</v>
      </c>
      <c r="N14" s="346">
        <v>4508</v>
      </c>
      <c r="O14" s="346">
        <v>4992.606721533397</v>
      </c>
      <c r="P14" s="346">
        <v>5386</v>
      </c>
      <c r="Q14" s="346">
        <v>5317</v>
      </c>
      <c r="R14" s="346">
        <v>5527</v>
      </c>
      <c r="S14" s="346">
        <v>5263.661</v>
      </c>
      <c r="T14" s="346">
        <v>5026.619</v>
      </c>
      <c r="U14" s="346">
        <v>5382.462</v>
      </c>
      <c r="V14" s="346">
        <v>5696.005</v>
      </c>
    </row>
    <row r="15" spans="1:22" ht="18" customHeight="1">
      <c r="A15" s="364" t="s">
        <v>146</v>
      </c>
      <c r="B15" s="607">
        <v>4204</v>
      </c>
      <c r="C15" s="607">
        <v>4372</v>
      </c>
      <c r="D15" s="607">
        <v>4552</v>
      </c>
      <c r="E15" s="608">
        <v>4947</v>
      </c>
      <c r="F15" s="607">
        <v>5739</v>
      </c>
      <c r="G15" s="607">
        <v>5601</v>
      </c>
      <c r="H15" s="268">
        <v>6196</v>
      </c>
      <c r="I15" s="268">
        <v>6173</v>
      </c>
      <c r="J15" s="607">
        <v>6122</v>
      </c>
      <c r="K15" s="365">
        <v>5444</v>
      </c>
      <c r="L15" s="365">
        <v>5555</v>
      </c>
      <c r="M15" s="366">
        <v>6262</v>
      </c>
      <c r="N15" s="366">
        <v>6793</v>
      </c>
      <c r="O15" s="366">
        <v>7580</v>
      </c>
      <c r="P15" s="366">
        <v>7976</v>
      </c>
      <c r="Q15" s="366">
        <v>8030</v>
      </c>
      <c r="R15" s="366">
        <v>8560</v>
      </c>
      <c r="S15" s="366">
        <v>8378.448</v>
      </c>
      <c r="T15" s="366">
        <v>7920.403</v>
      </c>
      <c r="U15" s="366">
        <v>8176.657</v>
      </c>
      <c r="V15" s="366">
        <v>8623.741</v>
      </c>
    </row>
    <row r="16" spans="1:22" ht="10.5" customHeight="1">
      <c r="A16" s="338"/>
      <c r="B16" s="338"/>
      <c r="C16" s="338"/>
      <c r="D16" s="338"/>
      <c r="E16" s="338"/>
      <c r="F16" s="338"/>
      <c r="G16" s="338"/>
      <c r="H16" s="338"/>
      <c r="I16" s="338"/>
      <c r="J16" s="338"/>
      <c r="K16" s="347"/>
      <c r="L16" s="347"/>
      <c r="M16" s="347"/>
      <c r="N16" s="226"/>
      <c r="O16" s="226"/>
      <c r="R16" s="240"/>
      <c r="U16" s="240"/>
      <c r="V16" s="240"/>
    </row>
    <row r="17" spans="1:22" s="369" customFormat="1" ht="13.5" customHeight="1">
      <c r="A17" s="369" t="s">
        <v>326</v>
      </c>
      <c r="K17" s="370"/>
      <c r="L17" s="370"/>
      <c r="M17" s="370"/>
      <c r="N17" s="371"/>
      <c r="O17" s="371"/>
      <c r="R17" s="372"/>
      <c r="S17" s="372"/>
      <c r="T17" s="373"/>
      <c r="U17" s="373"/>
      <c r="V17" s="373"/>
    </row>
    <row r="18" spans="1:22" s="369" customFormat="1" ht="12.75">
      <c r="A18" s="369" t="s">
        <v>325</v>
      </c>
      <c r="R18" s="372"/>
      <c r="S18" s="372"/>
      <c r="T18" s="372"/>
      <c r="U18" s="372"/>
      <c r="V18" s="372"/>
    </row>
    <row r="19" spans="11:22" ht="15">
      <c r="K19" s="348" t="s">
        <v>292</v>
      </c>
      <c r="L19" s="348" t="s">
        <v>292</v>
      </c>
      <c r="M19" s="348" t="s">
        <v>292</v>
      </c>
      <c r="N19" s="348" t="s">
        <v>292</v>
      </c>
      <c r="R19" s="240"/>
      <c r="U19" s="240"/>
      <c r="V19" s="240"/>
    </row>
    <row r="20" spans="1:22" ht="15">
      <c r="A20" s="338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R20" s="240"/>
      <c r="U20" s="240"/>
      <c r="V20" s="240"/>
    </row>
    <row r="21" spans="1:22" s="44" customFormat="1" ht="15.75">
      <c r="A21" s="100" t="s">
        <v>63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64"/>
      <c r="L21" s="64"/>
      <c r="M21" s="64"/>
      <c r="N21" s="64"/>
      <c r="R21" s="62"/>
      <c r="S21" s="62"/>
      <c r="T21" s="62"/>
      <c r="U21" s="62"/>
      <c r="V21" s="62"/>
    </row>
    <row r="22" spans="1:22" ht="10.5" customHeight="1">
      <c r="A22" s="338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R22" s="240"/>
      <c r="U22" s="240"/>
      <c r="V22" s="240"/>
    </row>
    <row r="23" spans="1:22" ht="21" customHeight="1">
      <c r="A23" s="361"/>
      <c r="B23" s="362">
        <v>1991</v>
      </c>
      <c r="C23" s="362">
        <v>1992</v>
      </c>
      <c r="D23" s="362">
        <v>1993</v>
      </c>
      <c r="E23" s="362">
        <v>1994</v>
      </c>
      <c r="F23" s="362">
        <v>1995</v>
      </c>
      <c r="G23" s="362">
        <v>1996</v>
      </c>
      <c r="H23" s="362">
        <v>1997</v>
      </c>
      <c r="I23" s="362">
        <v>1998</v>
      </c>
      <c r="J23" s="362">
        <v>1999</v>
      </c>
      <c r="K23" s="362">
        <v>2000</v>
      </c>
      <c r="L23" s="362">
        <v>2001</v>
      </c>
      <c r="M23" s="363">
        <v>2002</v>
      </c>
      <c r="N23" s="363">
        <v>2003</v>
      </c>
      <c r="O23" s="363">
        <v>2004</v>
      </c>
      <c r="P23" s="363">
        <v>2005</v>
      </c>
      <c r="Q23" s="363">
        <v>2006</v>
      </c>
      <c r="R23" s="363">
        <v>2007</v>
      </c>
      <c r="S23" s="363">
        <v>2008</v>
      </c>
      <c r="T23" s="363">
        <v>2009</v>
      </c>
      <c r="U23" s="363">
        <v>2010</v>
      </c>
      <c r="V23" s="363">
        <v>2011</v>
      </c>
    </row>
    <row r="24" spans="14:22" ht="15">
      <c r="N24" s="240"/>
      <c r="O24" s="240"/>
      <c r="P24" s="240"/>
      <c r="R24" s="240"/>
      <c r="U24" s="240"/>
      <c r="V24" s="240"/>
    </row>
    <row r="25" spans="1:22" ht="18" customHeight="1">
      <c r="A25" s="339" t="s">
        <v>268</v>
      </c>
      <c r="B25" s="339"/>
      <c r="C25" s="339"/>
      <c r="D25" s="339"/>
      <c r="E25" s="339"/>
      <c r="F25" s="339"/>
      <c r="G25" s="339"/>
      <c r="H25" s="339"/>
      <c r="I25" s="339"/>
      <c r="J25" s="339"/>
      <c r="M25" s="349"/>
      <c r="N25" s="241"/>
      <c r="O25" s="241"/>
      <c r="P25" s="240"/>
      <c r="Q25" s="240"/>
      <c r="R25" s="359"/>
      <c r="S25" s="359"/>
      <c r="T25" s="359"/>
      <c r="U25" s="359"/>
      <c r="V25" s="359" t="s">
        <v>254</v>
      </c>
    </row>
    <row r="26" spans="1:22" ht="18" customHeight="1">
      <c r="A26" s="178" t="s">
        <v>178</v>
      </c>
      <c r="B26" s="44">
        <v>2.55</v>
      </c>
      <c r="C26" s="66">
        <v>2.06</v>
      </c>
      <c r="D26" s="66">
        <v>2.1</v>
      </c>
      <c r="E26" s="44">
        <v>2.44</v>
      </c>
      <c r="F26" s="44">
        <v>2.51</v>
      </c>
      <c r="G26" s="44">
        <v>2.45</v>
      </c>
      <c r="H26" s="62">
        <v>2.53</v>
      </c>
      <c r="I26" s="62">
        <v>1.53</v>
      </c>
      <c r="J26" s="62">
        <v>1.66</v>
      </c>
      <c r="K26" s="240">
        <v>0.95</v>
      </c>
      <c r="L26" s="178">
        <v>1.61</v>
      </c>
      <c r="M26" s="240">
        <v>1.29</v>
      </c>
      <c r="N26" s="239">
        <v>1.34</v>
      </c>
      <c r="O26" s="239">
        <v>1.29</v>
      </c>
      <c r="P26" s="178">
        <v>1.59</v>
      </c>
      <c r="Q26" s="240">
        <v>1.53</v>
      </c>
      <c r="R26" s="240">
        <v>2.08</v>
      </c>
      <c r="S26" s="240">
        <v>2.53</v>
      </c>
      <c r="T26" s="240">
        <v>1.46</v>
      </c>
      <c r="U26" s="242">
        <v>2.34</v>
      </c>
      <c r="V26" s="242">
        <v>2.56</v>
      </c>
    </row>
    <row r="27" spans="1:22" ht="18" customHeight="1">
      <c r="A27" s="178" t="s">
        <v>179</v>
      </c>
      <c r="B27" s="44">
        <v>8.46</v>
      </c>
      <c r="C27" s="44">
        <v>8.28</v>
      </c>
      <c r="D27" s="44">
        <v>8.94</v>
      </c>
      <c r="E27" s="44">
        <v>8.41</v>
      </c>
      <c r="F27" s="66">
        <v>8.4</v>
      </c>
      <c r="G27" s="44">
        <v>8.32</v>
      </c>
      <c r="H27" s="62">
        <v>8.81</v>
      </c>
      <c r="I27" s="62">
        <v>8.56</v>
      </c>
      <c r="J27" s="62">
        <v>7.54</v>
      </c>
      <c r="K27" s="240">
        <v>11.02</v>
      </c>
      <c r="L27" s="178">
        <v>9.59</v>
      </c>
      <c r="M27" s="240">
        <v>8.53</v>
      </c>
      <c r="N27" s="240">
        <v>8.58</v>
      </c>
      <c r="O27" s="240">
        <v>8.52</v>
      </c>
      <c r="P27" s="178">
        <v>8.47</v>
      </c>
      <c r="Q27" s="240">
        <v>8.49</v>
      </c>
      <c r="R27" s="240">
        <v>8.28</v>
      </c>
      <c r="S27" s="240">
        <v>9.52</v>
      </c>
      <c r="T27" s="240">
        <v>8.52</v>
      </c>
      <c r="U27" s="242">
        <v>8.22</v>
      </c>
      <c r="V27" s="242">
        <v>7.99</v>
      </c>
    </row>
    <row r="28" spans="1:22" ht="18" customHeight="1">
      <c r="A28" s="338" t="s">
        <v>83</v>
      </c>
      <c r="B28" s="44">
        <v>11.34</v>
      </c>
      <c r="C28" s="44">
        <v>10.66</v>
      </c>
      <c r="D28" s="44">
        <v>11.35</v>
      </c>
      <c r="E28" s="44">
        <v>11.16</v>
      </c>
      <c r="F28" s="44">
        <v>11.22</v>
      </c>
      <c r="G28" s="44">
        <v>11.08</v>
      </c>
      <c r="H28" s="62">
        <v>11.62</v>
      </c>
      <c r="I28" s="62">
        <v>10.37</v>
      </c>
      <c r="J28" s="62">
        <v>9.47</v>
      </c>
      <c r="K28" s="240">
        <v>12.24</v>
      </c>
      <c r="L28" s="178">
        <v>11.41</v>
      </c>
      <c r="M28" s="240">
        <v>10.01</v>
      </c>
      <c r="N28" s="240">
        <v>10.06</v>
      </c>
      <c r="O28" s="240">
        <v>9.972192599834388</v>
      </c>
      <c r="P28" s="239">
        <v>10.193762099703264</v>
      </c>
      <c r="Q28" s="239">
        <v>10.16</v>
      </c>
      <c r="R28" s="239">
        <v>10.5</v>
      </c>
      <c r="S28" s="239">
        <v>12.19</v>
      </c>
      <c r="T28" s="239">
        <v>10.1</v>
      </c>
      <c r="U28" s="242">
        <v>10.89</v>
      </c>
      <c r="V28" s="246">
        <v>10.695766254266042</v>
      </c>
    </row>
    <row r="29" spans="2:22" ht="18" customHeight="1">
      <c r="B29" s="44"/>
      <c r="C29" s="44"/>
      <c r="D29" s="44"/>
      <c r="E29" s="44"/>
      <c r="F29" s="44"/>
      <c r="G29" s="567"/>
      <c r="H29" s="567"/>
      <c r="I29" s="567"/>
      <c r="J29" s="567"/>
      <c r="N29" s="240"/>
      <c r="O29" s="240"/>
      <c r="P29" s="240"/>
      <c r="R29" s="240"/>
      <c r="U29" s="240"/>
      <c r="V29" s="240"/>
    </row>
    <row r="30" spans="1:22" ht="18" customHeight="1">
      <c r="A30" s="339" t="s">
        <v>84</v>
      </c>
      <c r="B30" s="44"/>
      <c r="C30" s="44"/>
      <c r="D30" s="44"/>
      <c r="E30" s="44"/>
      <c r="F30" s="44"/>
      <c r="G30" s="44"/>
      <c r="H30" s="578"/>
      <c r="I30" s="567"/>
      <c r="J30" s="567"/>
      <c r="M30" s="349"/>
      <c r="N30" s="241"/>
      <c r="O30" s="241"/>
      <c r="P30" s="240"/>
      <c r="Q30" s="240"/>
      <c r="R30" s="359"/>
      <c r="S30" s="359"/>
      <c r="T30" s="359"/>
      <c r="U30" s="359"/>
      <c r="V30" s="359" t="s">
        <v>257</v>
      </c>
    </row>
    <row r="31" spans="1:22" ht="18" customHeight="1">
      <c r="A31" s="178" t="s">
        <v>178</v>
      </c>
      <c r="B31" s="44">
        <v>98</v>
      </c>
      <c r="C31" s="44">
        <v>80</v>
      </c>
      <c r="D31" s="44">
        <v>80</v>
      </c>
      <c r="E31" s="44">
        <v>90</v>
      </c>
      <c r="F31" s="44">
        <v>100</v>
      </c>
      <c r="G31" s="44">
        <v>100</v>
      </c>
      <c r="H31" s="62">
        <v>100</v>
      </c>
      <c r="I31" s="62">
        <v>60</v>
      </c>
      <c r="J31" s="62">
        <v>60</v>
      </c>
      <c r="K31" s="240">
        <v>40</v>
      </c>
      <c r="L31" s="178">
        <v>70</v>
      </c>
      <c r="M31" s="240">
        <v>50</v>
      </c>
      <c r="N31" s="240">
        <v>60</v>
      </c>
      <c r="O31" s="240">
        <v>50</v>
      </c>
      <c r="P31" s="178">
        <v>70</v>
      </c>
      <c r="Q31" s="240">
        <v>60</v>
      </c>
      <c r="R31" s="240">
        <v>90</v>
      </c>
      <c r="S31" s="240">
        <v>110</v>
      </c>
      <c r="T31" s="240">
        <v>60</v>
      </c>
      <c r="U31" s="242">
        <v>90</v>
      </c>
      <c r="V31" s="242">
        <v>100</v>
      </c>
    </row>
    <row r="32" spans="1:22" ht="18" customHeight="1">
      <c r="A32" s="178" t="s">
        <v>179</v>
      </c>
      <c r="B32" s="44">
        <v>186</v>
      </c>
      <c r="C32" s="44">
        <v>180</v>
      </c>
      <c r="D32" s="44">
        <v>200</v>
      </c>
      <c r="E32" s="44">
        <v>190</v>
      </c>
      <c r="F32" s="44">
        <v>190</v>
      </c>
      <c r="G32" s="44">
        <v>180</v>
      </c>
      <c r="H32" s="62">
        <v>190</v>
      </c>
      <c r="I32" s="62">
        <v>190</v>
      </c>
      <c r="J32" s="62">
        <v>170</v>
      </c>
      <c r="K32" s="240">
        <v>230</v>
      </c>
      <c r="L32" s="178">
        <v>200</v>
      </c>
      <c r="M32" s="240">
        <v>180</v>
      </c>
      <c r="N32" s="240">
        <v>180</v>
      </c>
      <c r="O32" s="240">
        <v>180</v>
      </c>
      <c r="P32" s="178">
        <v>180</v>
      </c>
      <c r="Q32" s="240">
        <v>180</v>
      </c>
      <c r="R32" s="240">
        <v>170</v>
      </c>
      <c r="S32" s="240">
        <v>200</v>
      </c>
      <c r="T32" s="240">
        <v>180</v>
      </c>
      <c r="U32" s="242">
        <v>170</v>
      </c>
      <c r="V32" s="242">
        <v>170</v>
      </c>
    </row>
    <row r="33" spans="1:22" ht="18" customHeight="1">
      <c r="A33" s="364" t="s">
        <v>83</v>
      </c>
      <c r="B33" s="257">
        <v>298</v>
      </c>
      <c r="C33" s="257">
        <v>270</v>
      </c>
      <c r="D33" s="257">
        <v>290</v>
      </c>
      <c r="E33" s="257">
        <v>290</v>
      </c>
      <c r="F33" s="257">
        <v>300</v>
      </c>
      <c r="G33" s="257">
        <v>300</v>
      </c>
      <c r="H33" s="550">
        <v>310</v>
      </c>
      <c r="I33" s="550">
        <v>260</v>
      </c>
      <c r="J33" s="550">
        <v>240</v>
      </c>
      <c r="K33" s="367">
        <v>280</v>
      </c>
      <c r="L33" s="364">
        <v>280</v>
      </c>
      <c r="M33" s="367">
        <v>240</v>
      </c>
      <c r="N33" s="367">
        <v>240</v>
      </c>
      <c r="O33" s="367">
        <v>240</v>
      </c>
      <c r="P33" s="368">
        <v>250</v>
      </c>
      <c r="Q33" s="368">
        <v>250</v>
      </c>
      <c r="R33" s="368">
        <v>268</v>
      </c>
      <c r="S33" s="368">
        <v>320</v>
      </c>
      <c r="T33" s="368">
        <v>250</v>
      </c>
      <c r="U33" s="558">
        <v>280</v>
      </c>
      <c r="V33" s="558">
        <v>270</v>
      </c>
    </row>
    <row r="34" spans="18:22" ht="15">
      <c r="R34" s="240"/>
      <c r="U34" s="240"/>
      <c r="V34" s="240"/>
    </row>
    <row r="35" spans="1:22" s="369" customFormat="1" ht="12.75">
      <c r="A35" s="369" t="s">
        <v>180</v>
      </c>
      <c r="R35" s="372"/>
      <c r="S35" s="372"/>
      <c r="T35" s="372"/>
      <c r="U35" s="372"/>
      <c r="V35" s="372"/>
    </row>
    <row r="36" spans="18:22" ht="15">
      <c r="R36" s="240"/>
      <c r="U36" s="240"/>
      <c r="V36" s="240"/>
    </row>
    <row r="37" spans="1:22" ht="15">
      <c r="A37" s="338"/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R37" s="240"/>
      <c r="U37" s="240"/>
      <c r="V37" s="240"/>
    </row>
    <row r="38" spans="1:22" s="44" customFormat="1" ht="15.75">
      <c r="A38" s="100" t="s">
        <v>64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64"/>
      <c r="L38" s="64"/>
      <c r="M38" s="64"/>
      <c r="N38" s="64"/>
      <c r="O38" s="64"/>
      <c r="R38" s="62"/>
      <c r="S38" s="62"/>
      <c r="T38" s="62"/>
      <c r="U38" s="62"/>
      <c r="V38" s="62"/>
    </row>
    <row r="39" spans="1:22" ht="10.5" customHeight="1">
      <c r="A39" s="338"/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R39" s="240"/>
      <c r="U39" s="240"/>
      <c r="V39" s="240"/>
    </row>
    <row r="40" spans="1:22" ht="15.75">
      <c r="A40" s="361"/>
      <c r="B40" s="363">
        <v>1991</v>
      </c>
      <c r="C40" s="362">
        <v>1992</v>
      </c>
      <c r="D40" s="363">
        <v>1993</v>
      </c>
      <c r="E40" s="362">
        <v>1994</v>
      </c>
      <c r="F40" s="363">
        <v>1995</v>
      </c>
      <c r="G40" s="362">
        <v>1996</v>
      </c>
      <c r="H40" s="363">
        <v>1997</v>
      </c>
      <c r="I40" s="362">
        <v>1998</v>
      </c>
      <c r="J40" s="363">
        <v>1999</v>
      </c>
      <c r="K40" s="362">
        <v>2000</v>
      </c>
      <c r="L40" s="363">
        <v>2001</v>
      </c>
      <c r="M40" s="363">
        <v>2002</v>
      </c>
      <c r="N40" s="363">
        <v>2003</v>
      </c>
      <c r="O40" s="363">
        <v>2004</v>
      </c>
      <c r="P40" s="363">
        <v>2005</v>
      </c>
      <c r="Q40" s="363">
        <v>2006</v>
      </c>
      <c r="R40" s="363">
        <v>2007</v>
      </c>
      <c r="S40" s="363">
        <v>2008</v>
      </c>
      <c r="T40" s="363">
        <v>2009</v>
      </c>
      <c r="U40" s="363">
        <v>2010</v>
      </c>
      <c r="V40" s="363">
        <v>2011</v>
      </c>
    </row>
    <row r="41" spans="1:22" ht="15">
      <c r="A41" s="338"/>
      <c r="B41" s="338"/>
      <c r="C41" s="338"/>
      <c r="D41" s="338"/>
      <c r="E41" s="338"/>
      <c r="F41" s="338"/>
      <c r="G41" s="338"/>
      <c r="H41" s="338"/>
      <c r="I41" s="338"/>
      <c r="J41" s="338"/>
      <c r="M41" s="240"/>
      <c r="N41" s="240"/>
      <c r="O41" s="240"/>
      <c r="Q41" s="240"/>
      <c r="R41" s="240"/>
      <c r="U41" s="240"/>
      <c r="V41" s="240"/>
    </row>
    <row r="42" spans="1:22" ht="18" customHeight="1">
      <c r="A42" s="339" t="s">
        <v>268</v>
      </c>
      <c r="B42" s="339"/>
      <c r="C42" s="339"/>
      <c r="D42" s="339"/>
      <c r="E42" s="339"/>
      <c r="F42" s="339"/>
      <c r="G42" s="339"/>
      <c r="H42" s="339"/>
      <c r="I42" s="339"/>
      <c r="J42" s="339"/>
      <c r="L42" s="350"/>
      <c r="M42" s="342"/>
      <c r="N42" s="342"/>
      <c r="O42" s="240"/>
      <c r="P42" s="342"/>
      <c r="Q42" s="342"/>
      <c r="R42" s="358"/>
      <c r="S42" s="358"/>
      <c r="T42" s="358"/>
      <c r="U42" s="358"/>
      <c r="V42" s="358" t="s">
        <v>255</v>
      </c>
    </row>
    <row r="43" spans="1:22" ht="18" customHeight="1">
      <c r="A43" s="178" t="s">
        <v>181</v>
      </c>
      <c r="B43" s="44">
        <v>9.31</v>
      </c>
      <c r="C43" s="44">
        <v>8.85</v>
      </c>
      <c r="D43" s="44">
        <v>9.54</v>
      </c>
      <c r="E43" s="44">
        <v>9.22</v>
      </c>
      <c r="F43" s="66">
        <v>8.5</v>
      </c>
      <c r="G43" s="44">
        <v>8.45</v>
      </c>
      <c r="H43" s="62">
        <v>8.81</v>
      </c>
      <c r="I43" s="598">
        <v>7.11</v>
      </c>
      <c r="J43" s="598">
        <v>6.12</v>
      </c>
      <c r="K43" s="178">
        <v>10.12</v>
      </c>
      <c r="L43" s="240">
        <v>8.78</v>
      </c>
      <c r="M43" s="239">
        <v>7.1</v>
      </c>
      <c r="N43" s="239">
        <v>7.01</v>
      </c>
      <c r="O43" s="191">
        <v>6.7</v>
      </c>
      <c r="P43" s="239">
        <v>6.61</v>
      </c>
      <c r="Q43" s="239">
        <v>6.49</v>
      </c>
      <c r="R43" s="239">
        <v>6.73</v>
      </c>
      <c r="S43" s="239">
        <v>7.48</v>
      </c>
      <c r="T43" s="239">
        <v>6.57</v>
      </c>
      <c r="U43" s="242">
        <v>6.55</v>
      </c>
      <c r="V43" s="242">
        <f>0.44+5.74</f>
        <v>6.180000000000001</v>
      </c>
    </row>
    <row r="44" spans="1:22" ht="18" customHeight="1">
      <c r="A44" s="178" t="s">
        <v>182</v>
      </c>
      <c r="B44" s="66">
        <v>0.8</v>
      </c>
      <c r="C44" s="44">
        <v>0.67</v>
      </c>
      <c r="D44" s="44">
        <v>0.61</v>
      </c>
      <c r="E44" s="44">
        <v>0.65</v>
      </c>
      <c r="F44" s="44">
        <v>1.44</v>
      </c>
      <c r="G44" s="44">
        <v>1.29</v>
      </c>
      <c r="H44" s="62">
        <v>1.33</v>
      </c>
      <c r="I44" s="598">
        <v>1.85</v>
      </c>
      <c r="J44" s="598">
        <v>1.96</v>
      </c>
      <c r="K44" s="178">
        <v>1.03</v>
      </c>
      <c r="L44" s="239">
        <v>1</v>
      </c>
      <c r="M44" s="239">
        <v>0.91</v>
      </c>
      <c r="N44" s="239">
        <v>0.83</v>
      </c>
      <c r="O44" s="178">
        <v>1.04</v>
      </c>
      <c r="P44" s="240">
        <v>1.38</v>
      </c>
      <c r="Q44" s="239">
        <v>1.4</v>
      </c>
      <c r="R44" s="240">
        <v>1.43</v>
      </c>
      <c r="S44" s="240">
        <v>1.51</v>
      </c>
      <c r="T44" s="240">
        <v>1.02</v>
      </c>
      <c r="U44" s="242">
        <v>2.05</v>
      </c>
      <c r="V44" s="242">
        <f>1.91+0.24</f>
        <v>2.15</v>
      </c>
    </row>
    <row r="45" spans="1:22" ht="18" customHeight="1">
      <c r="A45" s="178" t="s">
        <v>173</v>
      </c>
      <c r="B45" s="44">
        <v>0.29</v>
      </c>
      <c r="C45" s="44">
        <v>0.28</v>
      </c>
      <c r="D45" s="66">
        <v>0.3</v>
      </c>
      <c r="E45" s="44">
        <v>0.31</v>
      </c>
      <c r="F45" s="44">
        <v>0.28</v>
      </c>
      <c r="G45" s="44">
        <v>0.32</v>
      </c>
      <c r="H45" s="62">
        <v>0.34</v>
      </c>
      <c r="I45" s="598">
        <v>0.29</v>
      </c>
      <c r="J45" s="598">
        <v>0.23</v>
      </c>
      <c r="K45" s="178">
        <v>0.24</v>
      </c>
      <c r="L45" s="240">
        <v>0.29</v>
      </c>
      <c r="M45" s="239">
        <v>0.2</v>
      </c>
      <c r="N45" s="239">
        <v>0.12</v>
      </c>
      <c r="O45" s="178">
        <v>0.23</v>
      </c>
      <c r="P45" s="240">
        <v>0.17</v>
      </c>
      <c r="Q45" s="240">
        <v>0.21</v>
      </c>
      <c r="R45" s="239">
        <v>0.2</v>
      </c>
      <c r="S45" s="239">
        <v>0.24</v>
      </c>
      <c r="T45" s="239">
        <v>0.16</v>
      </c>
      <c r="U45" s="242">
        <v>0.14</v>
      </c>
      <c r="V45" s="242">
        <v>0.11</v>
      </c>
    </row>
    <row r="46" spans="1:22" ht="18" customHeight="1">
      <c r="A46" s="178" t="s">
        <v>183</v>
      </c>
      <c r="B46" s="44">
        <v>0.08</v>
      </c>
      <c r="C46" s="44">
        <v>0.03</v>
      </c>
      <c r="D46" s="44">
        <v>0.07</v>
      </c>
      <c r="E46" s="44">
        <v>0.07</v>
      </c>
      <c r="F46" s="44">
        <v>0.07</v>
      </c>
      <c r="G46" s="44">
        <v>0.12</v>
      </c>
      <c r="H46" s="62">
        <v>0.14</v>
      </c>
      <c r="I46" s="108">
        <v>0.2</v>
      </c>
      <c r="J46" s="108">
        <v>0.13</v>
      </c>
      <c r="K46" s="189" t="s">
        <v>189</v>
      </c>
      <c r="L46" s="189" t="s">
        <v>189</v>
      </c>
      <c r="M46" s="351" t="s">
        <v>189</v>
      </c>
      <c r="N46" s="351" t="s">
        <v>189</v>
      </c>
      <c r="O46" s="351" t="s">
        <v>189</v>
      </c>
      <c r="P46" s="246" t="s">
        <v>189</v>
      </c>
      <c r="Q46" s="246" t="s">
        <v>189</v>
      </c>
      <c r="R46" s="246" t="s">
        <v>189</v>
      </c>
      <c r="S46" s="246" t="s">
        <v>189</v>
      </c>
      <c r="T46" s="246" t="s">
        <v>189</v>
      </c>
      <c r="U46" s="242" t="s">
        <v>189</v>
      </c>
      <c r="V46" s="242" t="s">
        <v>189</v>
      </c>
    </row>
    <row r="47" spans="1:22" ht="18" customHeight="1">
      <c r="A47" s="178" t="s">
        <v>184</v>
      </c>
      <c r="B47" s="66">
        <v>0.1</v>
      </c>
      <c r="C47" s="44">
        <v>0.05</v>
      </c>
      <c r="D47" s="44">
        <v>0.04</v>
      </c>
      <c r="E47" s="44">
        <v>0.03</v>
      </c>
      <c r="F47" s="44">
        <v>0.04</v>
      </c>
      <c r="G47" s="44">
        <v>0.05</v>
      </c>
      <c r="H47" s="62">
        <v>0.05</v>
      </c>
      <c r="I47" s="598">
        <v>0.03</v>
      </c>
      <c r="J47" s="598">
        <v>0.05</v>
      </c>
      <c r="K47" s="189" t="s">
        <v>189</v>
      </c>
      <c r="L47" s="189" t="s">
        <v>189</v>
      </c>
      <c r="M47" s="351" t="s">
        <v>189</v>
      </c>
      <c r="N47" s="351" t="s">
        <v>189</v>
      </c>
      <c r="O47" s="351" t="s">
        <v>189</v>
      </c>
      <c r="P47" s="246" t="s">
        <v>189</v>
      </c>
      <c r="Q47" s="246" t="s">
        <v>189</v>
      </c>
      <c r="R47" s="246" t="s">
        <v>189</v>
      </c>
      <c r="S47" s="246" t="s">
        <v>189</v>
      </c>
      <c r="T47" s="246" t="s">
        <v>189</v>
      </c>
      <c r="U47" s="242" t="s">
        <v>189</v>
      </c>
      <c r="V47" s="242" t="s">
        <v>189</v>
      </c>
    </row>
    <row r="48" spans="1:22" ht="18" customHeight="1">
      <c r="A48" s="178" t="s">
        <v>324</v>
      </c>
      <c r="B48" s="52" t="s">
        <v>189</v>
      </c>
      <c r="C48" s="52" t="s">
        <v>189</v>
      </c>
      <c r="D48" s="52" t="s">
        <v>189</v>
      </c>
      <c r="E48" s="52" t="s">
        <v>189</v>
      </c>
      <c r="F48" s="52" t="s">
        <v>189</v>
      </c>
      <c r="G48" s="52" t="s">
        <v>189</v>
      </c>
      <c r="H48" s="52" t="s">
        <v>189</v>
      </c>
      <c r="I48" s="52" t="s">
        <v>189</v>
      </c>
      <c r="J48" s="52" t="s">
        <v>189</v>
      </c>
      <c r="K48" s="178">
        <v>0.24</v>
      </c>
      <c r="L48" s="240">
        <v>0.51</v>
      </c>
      <c r="M48" s="239">
        <v>0.43</v>
      </c>
      <c r="N48" s="239">
        <v>0.52</v>
      </c>
      <c r="O48" s="191">
        <v>0.1</v>
      </c>
      <c r="P48" s="239">
        <v>0.14</v>
      </c>
      <c r="Q48" s="239">
        <v>0.23</v>
      </c>
      <c r="R48" s="239">
        <v>0.17</v>
      </c>
      <c r="S48" s="239">
        <v>0.6</v>
      </c>
      <c r="T48" s="239">
        <v>0.1</v>
      </c>
      <c r="U48" s="246">
        <v>0.1</v>
      </c>
      <c r="V48" s="246">
        <v>0.17</v>
      </c>
    </row>
    <row r="49" spans="1:22" ht="18" customHeight="1">
      <c r="A49" s="178" t="s">
        <v>185</v>
      </c>
      <c r="B49" s="44">
        <v>0.76</v>
      </c>
      <c r="C49" s="44">
        <v>0.78</v>
      </c>
      <c r="D49" s="66">
        <v>0.8</v>
      </c>
      <c r="E49" s="44">
        <v>0.89</v>
      </c>
      <c r="F49" s="66">
        <v>0.9</v>
      </c>
      <c r="G49" s="44">
        <v>0.86</v>
      </c>
      <c r="H49" s="62">
        <v>0.94</v>
      </c>
      <c r="I49" s="108">
        <v>0.9</v>
      </c>
      <c r="J49" s="108">
        <v>0.99</v>
      </c>
      <c r="K49" s="178">
        <v>0.61</v>
      </c>
      <c r="L49" s="240">
        <v>0.83</v>
      </c>
      <c r="M49" s="239">
        <v>1.36</v>
      </c>
      <c r="N49" s="239">
        <v>1.57</v>
      </c>
      <c r="O49" s="178">
        <v>1.89</v>
      </c>
      <c r="P49" s="240">
        <v>1.89</v>
      </c>
      <c r="Q49" s="240">
        <v>1.83</v>
      </c>
      <c r="R49" s="240">
        <v>1.97</v>
      </c>
      <c r="S49" s="240">
        <v>2.37</v>
      </c>
      <c r="T49" s="240">
        <v>2.26</v>
      </c>
      <c r="U49" s="242">
        <v>2.05</v>
      </c>
      <c r="V49" s="242">
        <v>2.1</v>
      </c>
    </row>
    <row r="50" spans="1:22" ht="18" customHeight="1">
      <c r="A50" s="178" t="s">
        <v>137</v>
      </c>
      <c r="B50" s="610">
        <v>11.34</v>
      </c>
      <c r="C50" s="610">
        <v>10.66</v>
      </c>
      <c r="D50" s="610">
        <v>11.35</v>
      </c>
      <c r="E50" s="610">
        <v>11.16</v>
      </c>
      <c r="F50" s="610">
        <v>11.22</v>
      </c>
      <c r="G50" s="610">
        <v>11.08</v>
      </c>
      <c r="H50" s="610">
        <v>11.62</v>
      </c>
      <c r="I50" s="598">
        <v>10.37</v>
      </c>
      <c r="J50" s="598">
        <v>9.47</v>
      </c>
      <c r="K50" s="178">
        <v>12.24</v>
      </c>
      <c r="L50" s="240">
        <v>11.41</v>
      </c>
      <c r="M50" s="239">
        <v>10.01</v>
      </c>
      <c r="N50" s="239">
        <v>10.06</v>
      </c>
      <c r="O50" s="178">
        <v>9.97</v>
      </c>
      <c r="P50" s="239">
        <v>10.193762099703264</v>
      </c>
      <c r="Q50" s="239">
        <v>10.16</v>
      </c>
      <c r="R50" s="239">
        <v>10.5</v>
      </c>
      <c r="S50" s="239">
        <v>12.19</v>
      </c>
      <c r="T50" s="239">
        <v>10.1</v>
      </c>
      <c r="U50" s="242">
        <v>10.89</v>
      </c>
      <c r="V50" s="242">
        <v>10.7</v>
      </c>
    </row>
    <row r="51" spans="2:22" ht="18" customHeight="1">
      <c r="B51" s="611"/>
      <c r="C51" s="611"/>
      <c r="D51" s="611"/>
      <c r="E51" s="611"/>
      <c r="F51" s="611"/>
      <c r="G51" s="611"/>
      <c r="H51" s="611"/>
      <c r="I51" s="611"/>
      <c r="J51" s="611"/>
      <c r="K51" s="352" t="s">
        <v>292</v>
      </c>
      <c r="L51" s="352" t="s">
        <v>292</v>
      </c>
      <c r="N51" s="240"/>
      <c r="O51" s="239"/>
      <c r="P51" s="239"/>
      <c r="R51" s="240"/>
      <c r="U51" s="240"/>
      <c r="V51" s="240"/>
    </row>
    <row r="52" spans="1:22" ht="18" customHeight="1">
      <c r="A52" s="339" t="s">
        <v>85</v>
      </c>
      <c r="B52" s="44"/>
      <c r="C52" s="44"/>
      <c r="D52" s="44"/>
      <c r="E52" s="44"/>
      <c r="F52" s="63"/>
      <c r="G52" s="63"/>
      <c r="H52" s="578"/>
      <c r="I52" s="567"/>
      <c r="J52" s="567"/>
      <c r="M52" s="349"/>
      <c r="N52" s="241"/>
      <c r="O52" s="353"/>
      <c r="P52" s="240"/>
      <c r="Q52" s="353"/>
      <c r="R52" s="353"/>
      <c r="S52" s="360"/>
      <c r="T52" s="360"/>
      <c r="U52" s="360"/>
      <c r="V52" s="360" t="s">
        <v>258</v>
      </c>
    </row>
    <row r="53" spans="1:22" ht="18" customHeight="1">
      <c r="A53" s="178" t="s">
        <v>181</v>
      </c>
      <c r="B53" s="44">
        <v>240</v>
      </c>
      <c r="C53" s="44">
        <v>220</v>
      </c>
      <c r="D53" s="44">
        <v>240</v>
      </c>
      <c r="E53" s="44">
        <v>230</v>
      </c>
      <c r="F53" s="44">
        <v>220</v>
      </c>
      <c r="G53" s="44">
        <v>220</v>
      </c>
      <c r="H53" s="62">
        <v>220</v>
      </c>
      <c r="I53" s="62">
        <v>160</v>
      </c>
      <c r="J53" s="62">
        <v>140</v>
      </c>
      <c r="K53" s="178">
        <v>220</v>
      </c>
      <c r="L53" s="240">
        <v>200</v>
      </c>
      <c r="M53" s="243">
        <v>150</v>
      </c>
      <c r="N53" s="243">
        <v>150</v>
      </c>
      <c r="O53" s="178">
        <v>150</v>
      </c>
      <c r="P53" s="240">
        <v>150</v>
      </c>
      <c r="Q53" s="240">
        <v>140</v>
      </c>
      <c r="R53" s="240">
        <v>160</v>
      </c>
      <c r="S53" s="240">
        <v>170</v>
      </c>
      <c r="T53" s="240">
        <v>150</v>
      </c>
      <c r="U53" s="242">
        <v>150</v>
      </c>
      <c r="V53" s="242">
        <v>140</v>
      </c>
    </row>
    <row r="54" spans="1:22" ht="18" customHeight="1">
      <c r="A54" s="178" t="s">
        <v>182</v>
      </c>
      <c r="B54" s="44">
        <v>30</v>
      </c>
      <c r="C54" s="44">
        <v>20</v>
      </c>
      <c r="D54" s="44">
        <v>20</v>
      </c>
      <c r="E54" s="44">
        <v>20</v>
      </c>
      <c r="F54" s="44">
        <v>50</v>
      </c>
      <c r="G54" s="44">
        <v>50</v>
      </c>
      <c r="H54" s="62">
        <v>50</v>
      </c>
      <c r="I54" s="62">
        <v>70</v>
      </c>
      <c r="J54" s="62">
        <v>80</v>
      </c>
      <c r="K54" s="178">
        <v>40</v>
      </c>
      <c r="L54" s="240">
        <v>40</v>
      </c>
      <c r="M54" s="243">
        <v>40</v>
      </c>
      <c r="N54" s="243">
        <v>40</v>
      </c>
      <c r="O54" s="178">
        <v>40</v>
      </c>
      <c r="P54" s="240">
        <v>60</v>
      </c>
      <c r="Q54" s="240">
        <v>50</v>
      </c>
      <c r="R54" s="240">
        <v>60</v>
      </c>
      <c r="S54" s="240">
        <v>60</v>
      </c>
      <c r="T54" s="240">
        <v>40</v>
      </c>
      <c r="U54" s="242">
        <v>80</v>
      </c>
      <c r="V54" s="242">
        <v>90</v>
      </c>
    </row>
    <row r="55" spans="1:22" ht="18" customHeight="1">
      <c r="A55" s="178" t="s">
        <v>173</v>
      </c>
      <c r="B55" s="44">
        <v>6</v>
      </c>
      <c r="C55" s="44">
        <v>10</v>
      </c>
      <c r="D55" s="44">
        <v>10</v>
      </c>
      <c r="E55" s="44">
        <v>10</v>
      </c>
      <c r="F55" s="44">
        <v>10</v>
      </c>
      <c r="G55" s="44">
        <v>10</v>
      </c>
      <c r="H55" s="62">
        <v>10</v>
      </c>
      <c r="I55" s="62">
        <v>10</v>
      </c>
      <c r="J55" s="62">
        <v>10</v>
      </c>
      <c r="K55" s="189" t="s">
        <v>152</v>
      </c>
      <c r="L55" s="242">
        <v>10</v>
      </c>
      <c r="M55" s="354" t="s">
        <v>152</v>
      </c>
      <c r="N55" s="355" t="s">
        <v>152</v>
      </c>
      <c r="O55" s="355" t="s">
        <v>152</v>
      </c>
      <c r="P55" s="355" t="s">
        <v>152</v>
      </c>
      <c r="Q55" s="355" t="s">
        <v>152</v>
      </c>
      <c r="R55" s="355" t="s">
        <v>152</v>
      </c>
      <c r="S55" s="355">
        <v>10</v>
      </c>
      <c r="T55" s="355" t="s">
        <v>152</v>
      </c>
      <c r="U55" s="242" t="s">
        <v>189</v>
      </c>
      <c r="V55" s="242" t="s">
        <v>152</v>
      </c>
    </row>
    <row r="56" spans="1:22" ht="18" customHeight="1">
      <c r="A56" s="178" t="s">
        <v>183</v>
      </c>
      <c r="B56" s="44">
        <v>2</v>
      </c>
      <c r="C56" s="612" t="s">
        <v>152</v>
      </c>
      <c r="D56" s="612" t="s">
        <v>152</v>
      </c>
      <c r="E56" s="612" t="s">
        <v>152</v>
      </c>
      <c r="F56" s="612" t="s">
        <v>152</v>
      </c>
      <c r="G56" s="612" t="s">
        <v>152</v>
      </c>
      <c r="H56" s="612" t="s">
        <v>152</v>
      </c>
      <c r="I56" s="613" t="s">
        <v>152</v>
      </c>
      <c r="J56" s="613" t="s">
        <v>152</v>
      </c>
      <c r="K56" s="189" t="s">
        <v>189</v>
      </c>
      <c r="L56" s="189" t="s">
        <v>189</v>
      </c>
      <c r="M56" s="356" t="s">
        <v>189</v>
      </c>
      <c r="N56" s="356" t="s">
        <v>189</v>
      </c>
      <c r="O56" s="356" t="s">
        <v>189</v>
      </c>
      <c r="P56" s="355" t="s">
        <v>189</v>
      </c>
      <c r="Q56" s="355" t="s">
        <v>189</v>
      </c>
      <c r="R56" s="355" t="s">
        <v>189</v>
      </c>
      <c r="S56" s="355" t="s">
        <v>189</v>
      </c>
      <c r="T56" s="355" t="s">
        <v>189</v>
      </c>
      <c r="U56" s="242" t="s">
        <v>189</v>
      </c>
      <c r="V56" s="242" t="s">
        <v>189</v>
      </c>
    </row>
    <row r="57" spans="1:22" ht="18" customHeight="1">
      <c r="A57" s="178" t="s">
        <v>184</v>
      </c>
      <c r="B57" s="44">
        <v>4</v>
      </c>
      <c r="C57" s="612" t="s">
        <v>152</v>
      </c>
      <c r="D57" s="612" t="s">
        <v>152</v>
      </c>
      <c r="E57" s="612" t="s">
        <v>152</v>
      </c>
      <c r="F57" s="612" t="s">
        <v>152</v>
      </c>
      <c r="G57" s="612" t="s">
        <v>152</v>
      </c>
      <c r="H57" s="612" t="s">
        <v>152</v>
      </c>
      <c r="I57" s="613" t="s">
        <v>152</v>
      </c>
      <c r="J57" s="613" t="s">
        <v>152</v>
      </c>
      <c r="K57" s="189" t="s">
        <v>189</v>
      </c>
      <c r="L57" s="189" t="s">
        <v>189</v>
      </c>
      <c r="M57" s="356" t="s">
        <v>189</v>
      </c>
      <c r="N57" s="356" t="s">
        <v>189</v>
      </c>
      <c r="O57" s="356" t="s">
        <v>189</v>
      </c>
      <c r="P57" s="355" t="s">
        <v>189</v>
      </c>
      <c r="Q57" s="355" t="s">
        <v>189</v>
      </c>
      <c r="R57" s="355" t="s">
        <v>189</v>
      </c>
      <c r="S57" s="355" t="s">
        <v>189</v>
      </c>
      <c r="T57" s="355" t="s">
        <v>189</v>
      </c>
      <c r="U57" s="242" t="s">
        <v>189</v>
      </c>
      <c r="V57" s="242" t="s">
        <v>189</v>
      </c>
    </row>
    <row r="58" spans="1:22" ht="18" customHeight="1">
      <c r="A58" s="178" t="s">
        <v>324</v>
      </c>
      <c r="B58" s="52" t="s">
        <v>189</v>
      </c>
      <c r="C58" s="52" t="s">
        <v>189</v>
      </c>
      <c r="D58" s="52" t="s">
        <v>189</v>
      </c>
      <c r="E58" s="52" t="s">
        <v>189</v>
      </c>
      <c r="F58" s="52" t="s">
        <v>189</v>
      </c>
      <c r="G58" s="52" t="s">
        <v>189</v>
      </c>
      <c r="H58" s="52" t="s">
        <v>189</v>
      </c>
      <c r="I58" s="52" t="s">
        <v>189</v>
      </c>
      <c r="J58" s="52" t="s">
        <v>189</v>
      </c>
      <c r="K58" s="189" t="s">
        <v>152</v>
      </c>
      <c r="L58" s="242">
        <v>20</v>
      </c>
      <c r="M58" s="355">
        <v>10</v>
      </c>
      <c r="N58" s="355">
        <v>20</v>
      </c>
      <c r="O58" s="189" t="s">
        <v>152</v>
      </c>
      <c r="P58" s="242" t="s">
        <v>152</v>
      </c>
      <c r="Q58" s="242" t="s">
        <v>152</v>
      </c>
      <c r="R58" s="242" t="s">
        <v>152</v>
      </c>
      <c r="S58" s="242">
        <v>20</v>
      </c>
      <c r="T58" s="242" t="s">
        <v>152</v>
      </c>
      <c r="U58" s="242" t="s">
        <v>189</v>
      </c>
      <c r="V58" s="242">
        <v>10</v>
      </c>
    </row>
    <row r="59" spans="1:22" ht="18" customHeight="1">
      <c r="A59" s="338" t="s">
        <v>185</v>
      </c>
      <c r="B59" s="64">
        <v>17</v>
      </c>
      <c r="C59" s="64">
        <v>20</v>
      </c>
      <c r="D59" s="64">
        <v>20</v>
      </c>
      <c r="E59" s="64">
        <v>20</v>
      </c>
      <c r="F59" s="64">
        <v>20</v>
      </c>
      <c r="G59" s="64">
        <v>20</v>
      </c>
      <c r="H59" s="65">
        <v>20</v>
      </c>
      <c r="I59" s="62">
        <v>20</v>
      </c>
      <c r="J59" s="62">
        <v>20</v>
      </c>
      <c r="K59" s="178">
        <v>10</v>
      </c>
      <c r="L59" s="240">
        <v>20</v>
      </c>
      <c r="M59" s="243">
        <v>30</v>
      </c>
      <c r="N59" s="243">
        <v>30</v>
      </c>
      <c r="O59" s="178">
        <v>40</v>
      </c>
      <c r="P59" s="240">
        <v>40</v>
      </c>
      <c r="Q59" s="240">
        <v>40</v>
      </c>
      <c r="R59" s="240">
        <v>40</v>
      </c>
      <c r="S59" s="240">
        <v>60</v>
      </c>
      <c r="T59" s="240">
        <v>50</v>
      </c>
      <c r="U59" s="242">
        <v>40</v>
      </c>
      <c r="V59" s="242">
        <v>40</v>
      </c>
    </row>
    <row r="60" spans="1:22" ht="18" customHeight="1" thickBot="1">
      <c r="A60" s="364" t="s">
        <v>137</v>
      </c>
      <c r="B60" s="614">
        <v>298</v>
      </c>
      <c r="C60" s="614">
        <v>270</v>
      </c>
      <c r="D60" s="614">
        <v>290</v>
      </c>
      <c r="E60" s="614">
        <v>290</v>
      </c>
      <c r="F60" s="614">
        <v>300</v>
      </c>
      <c r="G60" s="614">
        <v>300</v>
      </c>
      <c r="H60" s="614">
        <v>310</v>
      </c>
      <c r="I60" s="609">
        <v>260</v>
      </c>
      <c r="J60" s="609">
        <v>240</v>
      </c>
      <c r="K60" s="364">
        <v>280</v>
      </c>
      <c r="L60" s="367">
        <v>280</v>
      </c>
      <c r="M60" s="368">
        <v>240</v>
      </c>
      <c r="N60" s="368">
        <v>240</v>
      </c>
      <c r="O60" s="368">
        <v>240</v>
      </c>
      <c r="P60" s="368">
        <v>250</v>
      </c>
      <c r="Q60" s="368">
        <v>250</v>
      </c>
      <c r="R60" s="368">
        <v>268</v>
      </c>
      <c r="S60" s="368">
        <v>320</v>
      </c>
      <c r="T60" s="368">
        <v>250</v>
      </c>
      <c r="U60" s="558">
        <v>280</v>
      </c>
      <c r="V60" s="558">
        <v>280</v>
      </c>
    </row>
    <row r="61" spans="1:21" ht="15">
      <c r="A61" s="338"/>
      <c r="B61" s="338"/>
      <c r="C61" s="338"/>
      <c r="D61" s="338"/>
      <c r="E61" s="338"/>
      <c r="F61" s="338"/>
      <c r="G61" s="338"/>
      <c r="H61" s="338"/>
      <c r="I61" s="338"/>
      <c r="J61" s="338"/>
      <c r="K61" s="240"/>
      <c r="L61" s="240"/>
      <c r="M61" s="240"/>
      <c r="N61" s="240"/>
      <c r="O61" s="240"/>
      <c r="P61" s="240"/>
      <c r="Q61" s="240"/>
      <c r="R61" s="240"/>
      <c r="U61" s="240"/>
    </row>
    <row r="62" spans="1:16" ht="15">
      <c r="A62" s="357"/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</row>
    <row r="86" spans="1:10" ht="15.75">
      <c r="A86" s="339"/>
      <c r="B86" s="339"/>
      <c r="C86" s="339"/>
      <c r="D86" s="339"/>
      <c r="E86" s="339"/>
      <c r="F86" s="339"/>
      <c r="G86" s="339"/>
      <c r="H86" s="339"/>
      <c r="I86" s="339"/>
      <c r="J86" s="339"/>
    </row>
    <row r="89" ht="118.5" customHeight="1"/>
  </sheetData>
  <sheetProtection/>
  <printOptions/>
  <pageMargins left="0.75" right="0.75" top="1" bottom="1" header="0.5" footer="0.5"/>
  <pageSetup fitToHeight="1" fitToWidth="1" horizontalDpi="96" verticalDpi="96" orientation="portrait" paperSize="9" scale="73" r:id="rId1"/>
  <rowBreaks count="3" manualBreakCount="3">
    <brk id="60" max="255" man="1"/>
    <brk id="61" max="255" man="1"/>
    <brk id="6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57421875" style="5" customWidth="1"/>
    <col min="2" max="10" width="8.421875" style="5" hidden="1" customWidth="1"/>
    <col min="11" max="21" width="8.421875" style="5" customWidth="1"/>
    <col min="22" max="22" width="9.8515625" style="5" customWidth="1"/>
    <col min="23" max="16384" width="9.140625" style="5" customWidth="1"/>
  </cols>
  <sheetData>
    <row r="1" spans="1:20" s="56" customFormat="1" ht="15.75">
      <c r="A1" s="106" t="s">
        <v>750</v>
      </c>
      <c r="B1" s="688"/>
      <c r="C1" s="688"/>
      <c r="D1" s="688"/>
      <c r="E1" s="688"/>
      <c r="F1" s="688"/>
      <c r="G1" s="688"/>
      <c r="H1" s="688"/>
      <c r="I1" s="688"/>
      <c r="J1" s="689"/>
      <c r="K1" s="262"/>
      <c r="L1" s="262"/>
      <c r="M1" s="262"/>
      <c r="N1" s="262"/>
      <c r="O1" s="262"/>
      <c r="R1" s="244"/>
      <c r="S1" s="244"/>
      <c r="T1" s="244"/>
    </row>
    <row r="2" spans="1:20" s="56" customFormat="1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262"/>
      <c r="K2" s="262"/>
      <c r="L2" s="262"/>
      <c r="M2" s="262"/>
      <c r="N2" s="262"/>
      <c r="O2" s="262"/>
      <c r="R2" s="244"/>
      <c r="S2" s="244"/>
      <c r="T2" s="244"/>
    </row>
    <row r="3" spans="1:21" s="56" customFormat="1" ht="12.75">
      <c r="A3" s="683"/>
      <c r="B3" s="683">
        <v>1992</v>
      </c>
      <c r="C3" s="684">
        <v>1993</v>
      </c>
      <c r="D3" s="683">
        <v>1994</v>
      </c>
      <c r="E3" s="684">
        <v>1995</v>
      </c>
      <c r="F3" s="683">
        <v>1996</v>
      </c>
      <c r="G3" s="684">
        <v>1997</v>
      </c>
      <c r="H3" s="683">
        <v>1998</v>
      </c>
      <c r="I3" s="684">
        <v>1999</v>
      </c>
      <c r="J3" s="683">
        <v>2000</v>
      </c>
      <c r="K3" s="684">
        <v>2001</v>
      </c>
      <c r="L3" s="684">
        <v>2002</v>
      </c>
      <c r="M3" s="684">
        <v>2003</v>
      </c>
      <c r="N3" s="685" t="s">
        <v>489</v>
      </c>
      <c r="O3" s="685" t="s">
        <v>554</v>
      </c>
      <c r="P3" s="685" t="s">
        <v>585</v>
      </c>
      <c r="Q3" s="685" t="s">
        <v>598</v>
      </c>
      <c r="R3" s="685" t="s">
        <v>629</v>
      </c>
      <c r="S3" s="685" t="s">
        <v>65</v>
      </c>
      <c r="T3" s="685" t="s">
        <v>12</v>
      </c>
      <c r="U3" s="685" t="s">
        <v>8</v>
      </c>
    </row>
    <row r="4" spans="1:21" s="56" customFormat="1" ht="12.75">
      <c r="A4" s="104"/>
      <c r="B4" s="101"/>
      <c r="C4" s="686"/>
      <c r="D4" s="101"/>
      <c r="E4" s="686"/>
      <c r="F4" s="101"/>
      <c r="G4" s="686"/>
      <c r="H4" s="101"/>
      <c r="I4" s="686"/>
      <c r="J4" s="101"/>
      <c r="K4" s="686"/>
      <c r="L4" s="686"/>
      <c r="M4" s="686"/>
      <c r="N4" s="687"/>
      <c r="O4" s="687"/>
      <c r="P4" s="687"/>
      <c r="Q4" s="687"/>
      <c r="R4" s="687"/>
      <c r="S4" s="687"/>
      <c r="T4" s="687"/>
      <c r="U4" s="149" t="s">
        <v>186</v>
      </c>
    </row>
    <row r="5" spans="1:21" s="56" customFormat="1" ht="12.75">
      <c r="A5" s="101" t="s">
        <v>735</v>
      </c>
      <c r="B5" s="101"/>
      <c r="C5" s="686"/>
      <c r="D5" s="101"/>
      <c r="E5" s="686"/>
      <c r="F5" s="101"/>
      <c r="G5" s="686"/>
      <c r="H5" s="101"/>
      <c r="I5" s="686"/>
      <c r="J5" s="101"/>
      <c r="K5" s="686"/>
      <c r="L5" s="686"/>
      <c r="M5" s="686"/>
      <c r="N5" s="687"/>
      <c r="O5" s="687"/>
      <c r="P5" s="687"/>
      <c r="Q5" s="687"/>
      <c r="R5" s="687"/>
      <c r="S5" s="687"/>
      <c r="T5" s="687"/>
      <c r="U5" s="149"/>
    </row>
    <row r="6" spans="1:21" s="56" customFormat="1" ht="12.75">
      <c r="A6" s="104" t="s">
        <v>434</v>
      </c>
      <c r="B6" s="690">
        <f>'T9.14'!B7</f>
        <v>6214</v>
      </c>
      <c r="C6" s="690">
        <f>'T9.14'!C7</f>
        <v>6201</v>
      </c>
      <c r="D6" s="690">
        <f>'T9.14'!D7</f>
        <v>6194</v>
      </c>
      <c r="E6" s="690">
        <f>'T9.14'!E7</f>
        <v>6377</v>
      </c>
      <c r="F6" s="690">
        <f>'T9.14'!F7</f>
        <v>5077</v>
      </c>
      <c r="G6" s="690">
        <f>'T9.14'!G7</f>
        <v>5110</v>
      </c>
      <c r="H6" s="690">
        <f>'T9.14'!H7</f>
        <v>4818</v>
      </c>
      <c r="I6" s="690">
        <f>'T9.14'!I7</f>
        <v>4803.044</v>
      </c>
      <c r="J6" s="690">
        <f>'T9.14'!J7</f>
        <v>4776.725</v>
      </c>
      <c r="K6" s="690">
        <f>'T9.14'!K7</f>
        <v>4811</v>
      </c>
      <c r="L6" s="690">
        <f>'T9.14'!L7</f>
        <v>4873.7</v>
      </c>
      <c r="M6" s="690">
        <f>'T9.14'!M7</f>
        <v>5170</v>
      </c>
      <c r="N6" s="690">
        <f>'T9.14'!N7</f>
        <v>5311.056</v>
      </c>
      <c r="O6" s="690">
        <f>'T9.14'!O7</f>
        <v>5358</v>
      </c>
      <c r="P6" s="690">
        <f>'T9.14'!P7</f>
        <v>5398</v>
      </c>
      <c r="Q6" s="690">
        <f>'T9.14'!Q7</f>
        <v>5389</v>
      </c>
      <c r="R6" s="690">
        <f>'T9.14'!R7</f>
        <v>5084.1</v>
      </c>
      <c r="S6" s="690">
        <f>'T9.14'!S7</f>
        <v>5295.8</v>
      </c>
      <c r="T6" s="690">
        <f>'T9.14'!T7</f>
        <v>5235.78</v>
      </c>
      <c r="U6" s="690">
        <f>'T9.14'!U7</f>
        <v>4984.268</v>
      </c>
    </row>
    <row r="7" spans="1:21" ht="12.75">
      <c r="A7" s="5" t="s">
        <v>727</v>
      </c>
      <c r="B7" s="691">
        <f>'T9.14'!B20</f>
        <v>225.8</v>
      </c>
      <c r="C7" s="691">
        <f>'T9.14'!C20</f>
        <v>213.9</v>
      </c>
      <c r="D7" s="691">
        <f>'T9.14'!D20</f>
        <v>214</v>
      </c>
      <c r="E7" s="691">
        <f>'T9.14'!E20</f>
        <v>220</v>
      </c>
      <c r="F7" s="691">
        <f>'T9.14'!F20</f>
        <v>236</v>
      </c>
      <c r="G7" s="691">
        <f>'T9.14'!G20</f>
        <v>245</v>
      </c>
      <c r="H7" s="691">
        <f>'T9.14'!H20</f>
        <v>239</v>
      </c>
      <c r="I7" s="691">
        <f>'T9.14'!I20</f>
        <v>242</v>
      </c>
      <c r="J7" s="691">
        <f>'T9.14'!J20</f>
        <v>239</v>
      </c>
      <c r="K7" s="691">
        <f>'T9.14'!K20</f>
        <v>208</v>
      </c>
      <c r="L7" s="691">
        <f>'T9.14'!L20</f>
        <v>165.5</v>
      </c>
      <c r="M7" s="692" t="str">
        <f>'T9.14'!M20</f>
        <v>-</v>
      </c>
      <c r="N7" s="692" t="str">
        <f>'T9.14'!N20</f>
        <v>-</v>
      </c>
      <c r="O7" s="692" t="str">
        <f>'T9.14'!O20</f>
        <v>-</v>
      </c>
      <c r="P7" s="692" t="str">
        <f>'T9.14'!P20</f>
        <v>-</v>
      </c>
      <c r="Q7" s="692" t="str">
        <f>'T9.14'!Q20</f>
        <v>-</v>
      </c>
      <c r="R7" s="692" t="str">
        <f>'T9.14'!R20</f>
        <v>-</v>
      </c>
      <c r="S7" s="692" t="str">
        <f>'T9.14'!S20</f>
        <v>-</v>
      </c>
      <c r="T7" s="692" t="str">
        <f>'T9.14'!T20</f>
        <v>-</v>
      </c>
      <c r="U7" s="692" t="str">
        <f>'T9.14'!U20</f>
        <v>-</v>
      </c>
    </row>
    <row r="8" spans="1:21" ht="12.75">
      <c r="A8" s="262" t="s">
        <v>728</v>
      </c>
      <c r="B8" s="692" t="str">
        <f>'T9.14'!B31</f>
        <v>-</v>
      </c>
      <c r="C8" s="692" t="str">
        <f>'T9.14'!C31</f>
        <v>-</v>
      </c>
      <c r="D8" s="692" t="str">
        <f>'T9.14'!D31</f>
        <v>-</v>
      </c>
      <c r="E8" s="692" t="str">
        <f>'T9.14'!E31</f>
        <v>-</v>
      </c>
      <c r="F8" s="692" t="str">
        <f>'T9.14'!F31</f>
        <v>-</v>
      </c>
      <c r="G8" s="692" t="str">
        <f>'T9.14'!G31</f>
        <v>-</v>
      </c>
      <c r="H8" s="692" t="str">
        <f>'T9.14'!H31</f>
        <v>-</v>
      </c>
      <c r="I8" s="692" t="str">
        <f>'T9.14'!I31</f>
        <v>-</v>
      </c>
      <c r="J8" s="692" t="str">
        <f>'T9.14'!J31</f>
        <v>-</v>
      </c>
      <c r="K8" s="692" t="str">
        <f>'T9.14'!K31</f>
        <v>-</v>
      </c>
      <c r="L8" s="692" t="str">
        <f>'T9.14'!L31</f>
        <v>-</v>
      </c>
      <c r="M8" s="691">
        <f>'T9.14'!M31</f>
        <v>240.606</v>
      </c>
      <c r="N8" s="691">
        <f>'T9.14'!N31</f>
        <v>288.711</v>
      </c>
      <c r="O8" s="691">
        <f>'T9.14'!O31</f>
        <v>300.9</v>
      </c>
      <c r="P8" s="691">
        <f>'T9.14'!P31</f>
        <v>304</v>
      </c>
      <c r="Q8" s="691">
        <f>'T9.14'!Q31</f>
        <v>307</v>
      </c>
      <c r="R8" s="691">
        <f>'T9.14'!R31</f>
        <v>296</v>
      </c>
      <c r="S8" s="691">
        <f>'T9.14'!S31</f>
        <v>309</v>
      </c>
      <c r="T8" s="691">
        <f>'T9.14'!T31</f>
        <v>305</v>
      </c>
      <c r="U8" s="691">
        <f>'T9.14'!U31</f>
        <v>304</v>
      </c>
    </row>
    <row r="9" spans="1:21" ht="12.75">
      <c r="A9" s="262" t="s">
        <v>203</v>
      </c>
      <c r="B9" s="691">
        <f>'T9.14'!B39</f>
        <v>186.9</v>
      </c>
      <c r="C9" s="691">
        <f>'T9.14'!C39</f>
        <v>218.3</v>
      </c>
      <c r="D9" s="691">
        <f>'T9.14'!D39</f>
        <v>240.6</v>
      </c>
      <c r="E9" s="691">
        <f>'T9.14'!E39</f>
        <v>258.1</v>
      </c>
      <c r="F9" s="691">
        <f>'T9.14'!F39</f>
        <v>275.6</v>
      </c>
      <c r="G9" s="691">
        <f>'T9.14'!G39</f>
        <v>279.3</v>
      </c>
      <c r="H9" s="691">
        <f>'T9.14'!H39</f>
        <v>274</v>
      </c>
      <c r="I9" s="691">
        <f>'T9.14'!I39</f>
        <v>282</v>
      </c>
      <c r="J9" s="691">
        <f>'T9.14'!J39</f>
        <v>278</v>
      </c>
      <c r="K9" s="691">
        <f>'T9.14'!K39</f>
        <v>285</v>
      </c>
      <c r="L9" s="691">
        <f>'T9.14'!L39</f>
        <v>291</v>
      </c>
      <c r="M9" s="691">
        <f>'T9.14'!M39</f>
        <v>310</v>
      </c>
      <c r="N9" s="691">
        <f>'T9.14'!N39</f>
        <v>321.7</v>
      </c>
      <c r="O9" s="691">
        <f>'T9.14'!O39</f>
        <v>312</v>
      </c>
      <c r="P9" s="691">
        <f>'T9.14'!P39</f>
        <v>318</v>
      </c>
      <c r="Q9" s="691">
        <f>'T9.14'!Q39</f>
        <v>316</v>
      </c>
      <c r="R9" s="691">
        <f>'T9.14'!R39</f>
        <v>319</v>
      </c>
      <c r="S9" s="691">
        <f>'T9.14'!S39</f>
        <v>330</v>
      </c>
      <c r="T9" s="691">
        <f>'T9.14'!T39</f>
        <v>331</v>
      </c>
      <c r="U9" s="691">
        <f>'T9.14'!U39</f>
        <v>338</v>
      </c>
    </row>
    <row r="10" spans="1:21" ht="12.75">
      <c r="A10" s="262" t="s">
        <v>265</v>
      </c>
      <c r="B10" s="692" t="str">
        <f>'T9.14'!B64</f>
        <v>..</v>
      </c>
      <c r="C10" s="692" t="str">
        <f>'T9.14'!C64</f>
        <v>..</v>
      </c>
      <c r="D10" s="692" t="str">
        <f>'T9.14'!D64</f>
        <v>..</v>
      </c>
      <c r="E10" s="691">
        <f>'T9.14'!E64</f>
        <v>535.6555</v>
      </c>
      <c r="F10" s="691">
        <f>'T9.14'!F64</f>
        <v>697.9275</v>
      </c>
      <c r="G10" s="691">
        <f>'T9.14'!G64</f>
        <v>741.7145</v>
      </c>
      <c r="H10" s="691">
        <f>'T9.14'!H64</f>
        <v>660.087</v>
      </c>
      <c r="I10" s="691">
        <f>'T9.14'!I64</f>
        <v>667</v>
      </c>
      <c r="J10" s="691">
        <f>'T9.14'!J64</f>
        <v>674.281</v>
      </c>
      <c r="K10" s="691">
        <f>'T9.14'!K64</f>
        <v>676</v>
      </c>
      <c r="L10" s="691">
        <f>'T9.14'!L64</f>
        <v>732</v>
      </c>
      <c r="M10" s="691">
        <f>'T9.14'!M64</f>
        <v>696</v>
      </c>
      <c r="N10" s="691">
        <f>'T9.14'!N64</f>
        <v>755</v>
      </c>
      <c r="O10" s="691">
        <f>'T9.14'!O64</f>
        <v>716</v>
      </c>
      <c r="P10" s="691">
        <f>'T9.14'!P64</f>
        <v>770.048</v>
      </c>
      <c r="Q10" s="691">
        <f>'T9.14'!Q64</f>
        <v>805.466</v>
      </c>
      <c r="R10" s="691">
        <f>'T9.14'!R64</f>
        <v>782.95</v>
      </c>
      <c r="S10" s="691">
        <f>'T9.14'!S64</f>
        <v>782.089</v>
      </c>
      <c r="T10" s="691">
        <f>'T9.14'!T64</f>
        <v>763</v>
      </c>
      <c r="U10" s="691">
        <f>'T9.14'!U64</f>
        <v>798</v>
      </c>
    </row>
    <row r="11" spans="1:21" ht="12.75">
      <c r="A11" s="262" t="s">
        <v>729</v>
      </c>
      <c r="B11" s="691">
        <f>'T9.16'!B16</f>
        <v>1.8</v>
      </c>
      <c r="C11" s="691">
        <f>'T9.16'!C16</f>
        <v>2.3</v>
      </c>
      <c r="D11" s="691">
        <f>'T9.16'!D16</f>
        <v>2.7</v>
      </c>
      <c r="E11" s="691">
        <f>'T9.16'!E16</f>
        <v>2.1</v>
      </c>
      <c r="F11" s="691">
        <f>'T9.16'!F16</f>
        <v>1.6</v>
      </c>
      <c r="G11" s="691">
        <f>'T9.16'!G16</f>
        <v>1.6</v>
      </c>
      <c r="H11" s="691">
        <f>'T9.16'!H16</f>
        <v>1.9</v>
      </c>
      <c r="I11" s="691">
        <f>'T9.16'!I16</f>
        <v>1.6</v>
      </c>
      <c r="J11" s="691">
        <f>'T9.16'!J16</f>
        <v>1.3</v>
      </c>
      <c r="K11" s="691">
        <f>'T9.16'!K16</f>
        <v>0.25</v>
      </c>
      <c r="L11" s="691">
        <f>'T9.16'!L16</f>
        <v>0</v>
      </c>
      <c r="M11" s="691">
        <f>'T9.16'!M16</f>
        <v>0</v>
      </c>
      <c r="N11" s="691">
        <f>'T9.16'!N16</f>
        <v>0</v>
      </c>
      <c r="O11" s="691">
        <f>'T9.16'!O16</f>
        <v>0</v>
      </c>
      <c r="P11" s="691">
        <f>'T9.16'!P16</f>
        <v>0</v>
      </c>
      <c r="Q11" s="691">
        <f>'T9.16'!Q16</f>
        <v>0</v>
      </c>
      <c r="R11" s="691">
        <f>'T9.16'!R16</f>
        <v>0</v>
      </c>
      <c r="S11" s="691">
        <f>'T9.16'!S16</f>
        <v>0</v>
      </c>
      <c r="T11" s="691">
        <f>'T9.16'!T16</f>
        <v>0</v>
      </c>
      <c r="U11" s="691">
        <f>'T9.16'!U16</f>
        <v>0</v>
      </c>
    </row>
    <row r="12" spans="1:21" ht="12.75">
      <c r="A12" s="262" t="s">
        <v>239</v>
      </c>
      <c r="B12" s="691">
        <f>'T9.16'!B19</f>
        <v>598.3</v>
      </c>
      <c r="C12" s="691">
        <f>'T9.16'!C19</f>
        <v>634.2</v>
      </c>
      <c r="D12" s="691">
        <f>'T9.16'!D19</f>
        <v>703.8</v>
      </c>
      <c r="E12" s="691">
        <f>'T9.16'!E19</f>
        <v>751.5</v>
      </c>
      <c r="F12" s="691">
        <f>'T9.16'!F19</f>
        <v>762.5</v>
      </c>
      <c r="G12" s="691">
        <f>'T9.16'!G19</f>
        <v>768.3</v>
      </c>
      <c r="H12" s="691">
        <f>'T9.16'!H19</f>
        <v>786.4</v>
      </c>
      <c r="I12" s="691">
        <f>'T9.16'!I19</f>
        <v>1062.6</v>
      </c>
      <c r="J12" s="691">
        <f>'T9.16'!J19</f>
        <v>1076.6</v>
      </c>
      <c r="K12" s="691">
        <f>'T9.16'!K19</f>
        <v>1129.3</v>
      </c>
      <c r="L12" s="691">
        <f>'T9.16'!L19</f>
        <v>1163.7</v>
      </c>
      <c r="M12" s="691">
        <f>'T9.16'!M19</f>
        <v>1259.597</v>
      </c>
      <c r="N12" s="691">
        <f>'T9.16'!N19</f>
        <v>1254.7</v>
      </c>
      <c r="O12" s="691">
        <f>'T9.16'!O19</f>
        <v>1280.3</v>
      </c>
      <c r="P12" s="691">
        <f>'T9.16'!P19</f>
        <v>1306.9</v>
      </c>
      <c r="Q12" s="691">
        <f>'T9.16'!Q19</f>
        <v>1329.4</v>
      </c>
      <c r="R12" s="691">
        <f>'T9.16'!R19</f>
        <v>1308.5</v>
      </c>
      <c r="S12" s="691">
        <f>'T9.16'!S19</f>
        <v>1336.2</v>
      </c>
      <c r="T12" s="691">
        <f>'T9.16'!T19</f>
        <v>1313.8</v>
      </c>
      <c r="U12" s="691">
        <f>'T9.16'!U19</f>
        <v>1332.7</v>
      </c>
    </row>
    <row r="13" spans="1:21" ht="12.75">
      <c r="A13" s="262" t="s">
        <v>466</v>
      </c>
      <c r="B13" s="691">
        <f>'T9.16'!B26</f>
        <v>0</v>
      </c>
      <c r="C13" s="691">
        <f>'T9.16'!C26</f>
        <v>0</v>
      </c>
      <c r="D13" s="691">
        <f>'T9.16'!D26</f>
        <v>0</v>
      </c>
      <c r="E13" s="691">
        <f>'T9.16'!E26</f>
        <v>0</v>
      </c>
      <c r="F13" s="691">
        <f>'T9.16'!F26</f>
        <v>55.9</v>
      </c>
      <c r="G13" s="691">
        <f>'T9.16'!G26</f>
        <v>78.5</v>
      </c>
      <c r="H13" s="691">
        <f>'T9.16'!H26</f>
        <v>80.7</v>
      </c>
      <c r="I13" s="691">
        <f>'T9.16'!I26</f>
        <v>85.2</v>
      </c>
      <c r="J13" s="691">
        <f>'T9.16'!J26</f>
        <v>116.86699999999999</v>
      </c>
      <c r="K13" s="691">
        <f>'T9.16'!K26</f>
        <v>126.025</v>
      </c>
      <c r="L13" s="691">
        <f>'T9.16'!L26</f>
        <v>121.9</v>
      </c>
      <c r="M13" s="691">
        <f>'T9.16'!M26</f>
        <v>144.559</v>
      </c>
      <c r="N13" s="691">
        <f>'T9.16'!N26</f>
        <v>152.216</v>
      </c>
      <c r="O13" s="691">
        <f>'T9.16'!O26</f>
        <v>140.20000000000002</v>
      </c>
      <c r="P13" s="691">
        <f>'T9.16'!P26</f>
        <v>138.4</v>
      </c>
      <c r="Q13" s="691">
        <f>'T9.16'!Q26</f>
        <v>138.6</v>
      </c>
      <c r="R13" s="691">
        <f>'T9.16'!R26</f>
        <v>141.6</v>
      </c>
      <c r="S13" s="691">
        <f>'T9.16'!S26</f>
        <v>138</v>
      </c>
      <c r="T13" s="691">
        <f>'T9.16'!T26</f>
        <v>135.3</v>
      </c>
      <c r="U13" s="691">
        <f>'T9.16'!U26</f>
        <v>133.79999999999998</v>
      </c>
    </row>
    <row r="14" spans="1:21" ht="12.75">
      <c r="A14" s="262" t="s">
        <v>240</v>
      </c>
      <c r="B14" s="691">
        <f>'T9.16'!B31</f>
        <v>0</v>
      </c>
      <c r="C14" s="691">
        <f>'T9.16'!C31</f>
        <v>0</v>
      </c>
      <c r="D14" s="691">
        <f>'T9.16'!D31</f>
        <v>13.246</v>
      </c>
      <c r="E14" s="691">
        <f>'T9.16'!E31</f>
        <v>13.923</v>
      </c>
      <c r="F14" s="691">
        <f>'T9.16'!F31</f>
        <v>14.501</v>
      </c>
      <c r="G14" s="691">
        <f>'T9.16'!G31</f>
        <v>13.337</v>
      </c>
      <c r="H14" s="691">
        <f>'T9.16'!H31</f>
        <v>11.06</v>
      </c>
      <c r="I14" s="691">
        <f>'T9.16'!I31</f>
        <v>13.883</v>
      </c>
      <c r="J14" s="691">
        <f>'T9.16'!J31</f>
        <v>8.903</v>
      </c>
      <c r="K14" s="691">
        <f>'T9.16'!K31</f>
        <v>8.118</v>
      </c>
      <c r="L14" s="691">
        <f>'T9.16'!L31</f>
        <v>7.531</v>
      </c>
      <c r="M14" s="691">
        <f>'T9.16'!M31</f>
        <v>5.8</v>
      </c>
      <c r="N14" s="691">
        <f>'T9.16'!N31</f>
        <v>5.95</v>
      </c>
      <c r="O14" s="691">
        <f>'T9.16'!O31</f>
        <v>5.6</v>
      </c>
      <c r="P14" s="691">
        <f>'T9.16'!P31</f>
        <v>7</v>
      </c>
      <c r="Q14" s="691">
        <f>'T9.16'!Q31</f>
        <v>16.7</v>
      </c>
      <c r="R14" s="691">
        <f>'T9.16'!R31</f>
        <v>1.03</v>
      </c>
      <c r="S14" s="691">
        <f>'T9.16'!S31</f>
        <v>3.9</v>
      </c>
      <c r="T14" s="691">
        <f>'T9.16'!T31</f>
        <v>4.4</v>
      </c>
      <c r="U14" s="691">
        <f>'T9.16'!U31</f>
        <v>3</v>
      </c>
    </row>
    <row r="15" spans="1:21" ht="12.75">
      <c r="A15" s="262" t="s">
        <v>730</v>
      </c>
      <c r="B15" s="691">
        <f>'T9.16'!B34</f>
        <v>0</v>
      </c>
      <c r="C15" s="691">
        <f>'T9.16'!C34</f>
        <v>0</v>
      </c>
      <c r="D15" s="691">
        <f>'T9.16'!D34</f>
        <v>0</v>
      </c>
      <c r="E15" s="691">
        <f>'T9.16'!E34</f>
        <v>0</v>
      </c>
      <c r="F15" s="691">
        <f>'T9.16'!F34</f>
        <v>0</v>
      </c>
      <c r="G15" s="691">
        <f>'T9.16'!G34</f>
        <v>0</v>
      </c>
      <c r="H15" s="691">
        <f>'T9.16'!H34</f>
        <v>0</v>
      </c>
      <c r="I15" s="691">
        <f>'T9.16'!I34</f>
        <v>0</v>
      </c>
      <c r="J15" s="691">
        <f>'T9.16'!J34</f>
        <v>0</v>
      </c>
      <c r="K15" s="691">
        <f>'T9.16'!K34</f>
        <v>2.257</v>
      </c>
      <c r="L15" s="691">
        <f>'T9.16'!L34</f>
        <v>2.1</v>
      </c>
      <c r="M15" s="691">
        <f>'T9.16'!M34</f>
        <v>2.4</v>
      </c>
      <c r="N15" s="691">
        <f>'T9.16'!N34</f>
        <v>2.536</v>
      </c>
      <c r="O15" s="691">
        <f>'T9.16'!O34</f>
        <v>2.96</v>
      </c>
      <c r="P15" s="691">
        <f>'T9.16'!P34</f>
        <v>3.352</v>
      </c>
      <c r="Q15" s="691">
        <f>'T9.16'!Q34</f>
        <v>2.62</v>
      </c>
      <c r="R15" s="691">
        <f>'T9.16'!R34</f>
        <v>4.9</v>
      </c>
      <c r="S15" s="691">
        <f>'T9.16'!S34</f>
        <v>3.3</v>
      </c>
      <c r="T15" s="691">
        <f>'T9.16'!T34</f>
        <v>2.996</v>
      </c>
      <c r="U15" s="691">
        <f>'T9.16'!U34</f>
        <v>4.9</v>
      </c>
    </row>
    <row r="16" spans="1:21" ht="12.75">
      <c r="A16" s="262" t="s">
        <v>398</v>
      </c>
      <c r="B16" s="691">
        <f>'T9.16'!B37</f>
        <v>0</v>
      </c>
      <c r="C16" s="691">
        <f>'T9.16'!C37</f>
        <v>0</v>
      </c>
      <c r="D16" s="691">
        <f>'T9.16'!D37</f>
        <v>0</v>
      </c>
      <c r="E16" s="691">
        <f>'T9.16'!E37</f>
        <v>0</v>
      </c>
      <c r="F16" s="691">
        <f>'T9.16'!F37</f>
        <v>0</v>
      </c>
      <c r="G16" s="691">
        <f>'T9.16'!G37</f>
        <v>0</v>
      </c>
      <c r="H16" s="691">
        <f>'T9.16'!H37</f>
        <v>22.119</v>
      </c>
      <c r="I16" s="691">
        <f>'T9.16'!I37</f>
        <v>24.179</v>
      </c>
      <c r="J16" s="691">
        <f>'T9.16'!J37</f>
        <v>12.616</v>
      </c>
      <c r="K16" s="691">
        <f>'T9.16'!K37</f>
        <v>10.3</v>
      </c>
      <c r="L16" s="691">
        <f>'T9.16'!L37</f>
        <v>13.4</v>
      </c>
      <c r="M16" s="691">
        <f>'T9.16'!M37</f>
        <v>12.8</v>
      </c>
      <c r="N16" s="691">
        <f>'T9.16'!N37</f>
        <v>9.629</v>
      </c>
      <c r="O16" s="691">
        <f>'T9.16'!O37</f>
        <v>0</v>
      </c>
      <c r="P16" s="691">
        <f>'T9.16'!P37</f>
        <v>0</v>
      </c>
      <c r="Q16" s="691">
        <f>'T9.16'!Q37</f>
        <v>0</v>
      </c>
      <c r="R16" s="691">
        <f>'T9.16'!R37</f>
        <v>0</v>
      </c>
      <c r="S16" s="691">
        <f>'T9.16'!S37</f>
        <v>0</v>
      </c>
      <c r="T16" s="691">
        <f>'T9.16'!T37</f>
        <v>0</v>
      </c>
      <c r="U16" s="691">
        <f>'T9.16'!U37</f>
        <v>0</v>
      </c>
    </row>
    <row r="17" spans="1:21" ht="12.75">
      <c r="A17" s="262" t="s">
        <v>731</v>
      </c>
      <c r="B17" s="691">
        <f>'T9.16'!B40</f>
        <v>0</v>
      </c>
      <c r="C17" s="691">
        <f>'T9.16'!C40</f>
        <v>0</v>
      </c>
      <c r="D17" s="691">
        <f>'T9.16'!D40</f>
        <v>0</v>
      </c>
      <c r="E17" s="691">
        <f>'T9.16'!E40</f>
        <v>96.3035</v>
      </c>
      <c r="F17" s="691">
        <f>'T9.16'!F40</f>
        <v>137.943</v>
      </c>
      <c r="G17" s="691">
        <f>'T9.16'!G40</f>
        <v>145.672</v>
      </c>
      <c r="H17" s="691">
        <f>'T9.16'!H40</f>
        <v>125.686</v>
      </c>
      <c r="I17" s="691">
        <f>'T9.16'!I40</f>
        <v>120.4</v>
      </c>
      <c r="J17" s="691">
        <f>'T9.16'!J40</f>
        <v>0</v>
      </c>
      <c r="K17" s="691">
        <f>'T9.16'!K40</f>
        <v>0</v>
      </c>
      <c r="L17" s="691">
        <f>'T9.16'!L40</f>
        <v>0</v>
      </c>
      <c r="M17" s="691">
        <f>'T9.16'!M40</f>
        <v>0</v>
      </c>
      <c r="N17" s="691">
        <f>'T9.16'!N40</f>
        <v>2.654</v>
      </c>
      <c r="O17" s="691">
        <f>'T9.16'!O40</f>
        <v>0</v>
      </c>
      <c r="P17" s="691">
        <f>'T9.16'!P40</f>
        <v>0</v>
      </c>
      <c r="Q17" s="691">
        <f>'T9.16'!Q40</f>
        <v>0</v>
      </c>
      <c r="R17" s="691">
        <f>'T9.16'!R40</f>
        <v>0</v>
      </c>
      <c r="S17" s="691">
        <f>'T9.16'!S40</f>
        <v>0</v>
      </c>
      <c r="T17" s="691">
        <f>'T9.16'!T40</f>
        <v>0</v>
      </c>
      <c r="U17" s="691">
        <f>'T9.16'!U40</f>
        <v>0</v>
      </c>
    </row>
    <row r="18" spans="1:21" ht="13.5" customHeight="1">
      <c r="A18" s="262" t="s">
        <v>577</v>
      </c>
      <c r="B18" s="691">
        <f>'T9.16'!B53</f>
        <v>0</v>
      </c>
      <c r="C18" s="691">
        <f>'T9.16'!C53</f>
        <v>0</v>
      </c>
      <c r="D18" s="691">
        <f>'T9.16'!D53</f>
        <v>0</v>
      </c>
      <c r="E18" s="691">
        <f>'T9.16'!E53</f>
        <v>0</v>
      </c>
      <c r="F18" s="691">
        <f>'T9.16'!F53</f>
        <v>22</v>
      </c>
      <c r="G18" s="691">
        <f>'T9.16'!G53</f>
        <v>23.2</v>
      </c>
      <c r="H18" s="691">
        <f>'T9.16'!H53</f>
        <v>21</v>
      </c>
      <c r="I18" s="691">
        <f>'T9.16'!I53</f>
        <v>20.1</v>
      </c>
      <c r="J18" s="691">
        <f>'T9.16'!J53</f>
        <v>142.09</v>
      </c>
      <c r="K18" s="691">
        <f>'T9.16'!K53</f>
        <v>208</v>
      </c>
      <c r="L18" s="691">
        <f>'T9.16'!L53</f>
        <v>205.1</v>
      </c>
      <c r="M18" s="691">
        <f>'T9.16'!M53</f>
        <v>207.70000000000002</v>
      </c>
      <c r="N18" s="691">
        <f>'T9.16'!N53</f>
        <v>198.6</v>
      </c>
      <c r="O18" s="691">
        <f>'T9.16'!O53</f>
        <v>217.89999999999998</v>
      </c>
      <c r="P18" s="691">
        <f>'T9.16'!P53</f>
        <v>224.725</v>
      </c>
      <c r="Q18" s="691">
        <f>'T9.16'!Q53</f>
        <v>220.78</v>
      </c>
      <c r="R18" s="691">
        <f>'T9.16'!R53</f>
        <v>211.4</v>
      </c>
      <c r="S18" s="691">
        <f>'T9.16'!S53</f>
        <v>219.4</v>
      </c>
      <c r="T18" s="691">
        <f>'T9.16'!T53</f>
        <v>63.5</v>
      </c>
      <c r="U18" s="691">
        <f>'T9.16'!U53</f>
        <v>57.7</v>
      </c>
    </row>
    <row r="19" spans="1:21" ht="3" customHeight="1">
      <c r="A19" s="262"/>
      <c r="B19" s="691"/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91"/>
      <c r="S19" s="691"/>
      <c r="T19" s="691"/>
      <c r="U19" s="691"/>
    </row>
    <row r="20" spans="1:21" s="105" customFormat="1" ht="12.75">
      <c r="A20" s="686" t="s">
        <v>734</v>
      </c>
      <c r="B20" s="693">
        <f>SUM(B6:B18)</f>
        <v>7226.8</v>
      </c>
      <c r="C20" s="693">
        <f>SUM(C6:C18)</f>
        <v>7269.7</v>
      </c>
      <c r="D20" s="693">
        <f aca="true" t="shared" si="0" ref="D20:U20">SUM(D6:D18)</f>
        <v>7368.3460000000005</v>
      </c>
      <c r="E20" s="693">
        <f t="shared" si="0"/>
        <v>8254.582</v>
      </c>
      <c r="F20" s="693">
        <f t="shared" si="0"/>
        <v>7280.971500000001</v>
      </c>
      <c r="G20" s="693">
        <f t="shared" si="0"/>
        <v>7406.623500000001</v>
      </c>
      <c r="H20" s="693">
        <f t="shared" si="0"/>
        <v>7039.951999999998</v>
      </c>
      <c r="I20" s="693">
        <f t="shared" si="0"/>
        <v>7322.006</v>
      </c>
      <c r="J20" s="693">
        <f t="shared" si="0"/>
        <v>7326.382000000001</v>
      </c>
      <c r="K20" s="693">
        <f t="shared" si="0"/>
        <v>7464.25</v>
      </c>
      <c r="L20" s="693">
        <f t="shared" si="0"/>
        <v>7575.931</v>
      </c>
      <c r="M20" s="693">
        <f t="shared" si="0"/>
        <v>8049.4619999999995</v>
      </c>
      <c r="N20" s="693">
        <f t="shared" si="0"/>
        <v>8302.752</v>
      </c>
      <c r="O20" s="693">
        <f t="shared" si="0"/>
        <v>8333.86</v>
      </c>
      <c r="P20" s="693">
        <f t="shared" si="0"/>
        <v>8470.425000000001</v>
      </c>
      <c r="Q20" s="693">
        <f t="shared" si="0"/>
        <v>8525.566000000003</v>
      </c>
      <c r="R20" s="693">
        <f t="shared" si="0"/>
        <v>8149.48</v>
      </c>
      <c r="S20" s="693">
        <f t="shared" si="0"/>
        <v>8417.688999999998</v>
      </c>
      <c r="T20" s="693">
        <f t="shared" si="0"/>
        <v>8154.776</v>
      </c>
      <c r="U20" s="693">
        <f t="shared" si="0"/>
        <v>7956.3679999999995</v>
      </c>
    </row>
    <row r="21" spans="1:21" s="105" customFormat="1" ht="3" customHeight="1">
      <c r="A21" s="686"/>
      <c r="B21" s="693"/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</row>
    <row r="22" spans="1:21" ht="12.75">
      <c r="A22" s="262" t="s">
        <v>732</v>
      </c>
      <c r="B22" s="691">
        <f>'T9.13'!C35</f>
        <v>1935</v>
      </c>
      <c r="C22" s="691">
        <f>'T9.13'!D35</f>
        <v>2264</v>
      </c>
      <c r="D22" s="691">
        <f>'T9.13'!E35</f>
        <v>2268</v>
      </c>
      <c r="E22" s="691">
        <f>'T9.13'!F35</f>
        <v>2342</v>
      </c>
      <c r="F22" s="691">
        <f>'T9.13'!G35</f>
        <v>2205</v>
      </c>
      <c r="G22" s="691">
        <f>'T9.13'!H35</f>
        <v>2689</v>
      </c>
      <c r="H22" s="691">
        <f>'T9.13'!I35</f>
        <v>2603</v>
      </c>
      <c r="I22" s="691">
        <f>'T9.13'!J35</f>
        <v>2621</v>
      </c>
      <c r="J22" s="691">
        <f>'T9.13'!K35</f>
        <v>2470</v>
      </c>
      <c r="K22" s="691">
        <f>'T9.13'!L35</f>
        <v>2326</v>
      </c>
      <c r="L22" s="691">
        <f>'T9.13'!M35</f>
        <v>2284</v>
      </c>
      <c r="M22" s="691">
        <f>'T9.13'!N35</f>
        <v>2430</v>
      </c>
      <c r="N22" s="691">
        <f>'T9.13'!O35</f>
        <v>2337</v>
      </c>
      <c r="O22" s="691">
        <f>'T9.13'!P35</f>
        <v>2051</v>
      </c>
      <c r="P22" s="691">
        <f>'T9.13'!Q35</f>
        <v>2015</v>
      </c>
      <c r="Q22" s="691">
        <f>'T9.13'!R35</f>
        <v>2094</v>
      </c>
      <c r="R22" s="691">
        <f>'T9.13'!S35</f>
        <v>1937</v>
      </c>
      <c r="S22" s="691">
        <f>'T9.13'!T35</f>
        <v>1915</v>
      </c>
      <c r="T22" s="691">
        <f>'T9.13'!U35</f>
        <v>1920</v>
      </c>
      <c r="U22" s="691">
        <f>'T9.13'!V35</f>
        <v>1761.637</v>
      </c>
    </row>
    <row r="23" spans="1:21" ht="12.75">
      <c r="A23" s="262" t="s">
        <v>733</v>
      </c>
      <c r="B23" s="691">
        <f>IF(ISERROR('T9.13'!C57),0,'T9.13'!C57)</f>
        <v>0</v>
      </c>
      <c r="C23" s="691">
        <f>IF(ISERROR('T9.13'!D57),0,'T9.13'!D57)</f>
        <v>0</v>
      </c>
      <c r="D23" s="691">
        <f>IF(ISERROR('T9.13'!E57),0,'T9.13'!E57)</f>
        <v>0</v>
      </c>
      <c r="E23" s="691">
        <f>IF(ISERROR('T9.13'!F57),0,'T9.13'!F57)</f>
        <v>0</v>
      </c>
      <c r="F23" s="691">
        <f>IF(ISERROR('T9.13'!G57),0,'T9.13'!G57)</f>
        <v>0</v>
      </c>
      <c r="G23" s="691">
        <f>IF(ISERROR('T9.13'!H57),0,'T9.13'!H57)</f>
        <v>0</v>
      </c>
      <c r="H23" s="691">
        <f>IF(ISERROR('T9.13'!I57),0,'T9.13'!I57)</f>
        <v>0</v>
      </c>
      <c r="I23" s="691">
        <f>IF(ISERROR('T9.13'!J57),0,'T9.13'!J57)</f>
        <v>0</v>
      </c>
      <c r="J23" s="691">
        <f>IF(ISERROR('T9.13'!K57),0,'T9.13'!K57)</f>
        <v>5.681</v>
      </c>
      <c r="K23" s="691">
        <f>IF(ISERROR('T9.13'!L57),0,'T9.13'!L57)</f>
        <v>6.105</v>
      </c>
      <c r="L23" s="691">
        <f>IF(ISERROR('T9.13'!M57),0,'T9.13'!M57)</f>
        <v>111.875</v>
      </c>
      <c r="M23" s="691">
        <f>IF(ISERROR('T9.13'!N57),0,'T9.13'!N57)</f>
        <v>207.587</v>
      </c>
      <c r="N23" s="691">
        <f>IF(ISERROR('T9.13'!O57),0,'T9.13'!O57)</f>
        <v>207</v>
      </c>
      <c r="O23" s="691">
        <f>IF(ISERROR('T9.13'!P57),0,'T9.13'!P57)</f>
        <v>194.323</v>
      </c>
      <c r="P23" s="691">
        <f>IF(ISERROR('T9.13'!Q57),0,'T9.13'!Q57)</f>
        <v>121</v>
      </c>
      <c r="Q23" s="691">
        <f>IF(ISERROR('T9.13'!R57),0,'T9.13'!R57)</f>
        <v>111</v>
      </c>
      <c r="R23" s="691">
        <f>IF(ISERROR('T9.13'!S57),0,'T9.13'!S57)</f>
        <v>75</v>
      </c>
      <c r="S23" s="691">
        <f>IF(ISERROR('T9.13'!T57),0,'T9.13'!T57)</f>
        <v>31</v>
      </c>
      <c r="T23" s="691">
        <f>IF(ISERROR('T9.13'!U57),0,'T9.13'!U57)</f>
        <v>54.016</v>
      </c>
      <c r="U23" s="691" t="str">
        <f>IF(ISERROR('T9.13'!V57),0,'T9.13'!V57)</f>
        <v>-</v>
      </c>
    </row>
    <row r="24" spans="2:21" ht="3" customHeight="1">
      <c r="B24" s="691"/>
      <c r="C24" s="691"/>
      <c r="D24" s="691"/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</row>
    <row r="25" spans="1:21" s="105" customFormat="1" ht="12.75">
      <c r="A25" s="105" t="s">
        <v>141</v>
      </c>
      <c r="B25" s="693">
        <f>B20+SUM(B22:B23)</f>
        <v>9161.8</v>
      </c>
      <c r="C25" s="693">
        <f aca="true" t="shared" si="1" ref="C25:U25">C20+SUM(C22:C23)</f>
        <v>9533.7</v>
      </c>
      <c r="D25" s="693">
        <f t="shared" si="1"/>
        <v>9636.346000000001</v>
      </c>
      <c r="E25" s="693">
        <f t="shared" si="1"/>
        <v>10596.582</v>
      </c>
      <c r="F25" s="693">
        <f t="shared" si="1"/>
        <v>9485.9715</v>
      </c>
      <c r="G25" s="693">
        <f t="shared" si="1"/>
        <v>10095.623500000002</v>
      </c>
      <c r="H25" s="693">
        <f t="shared" si="1"/>
        <v>9642.951999999997</v>
      </c>
      <c r="I25" s="693">
        <f t="shared" si="1"/>
        <v>9943.006000000001</v>
      </c>
      <c r="J25" s="693">
        <f t="shared" si="1"/>
        <v>9802.063000000002</v>
      </c>
      <c r="K25" s="693">
        <f t="shared" si="1"/>
        <v>9796.355</v>
      </c>
      <c r="L25" s="693">
        <f t="shared" si="1"/>
        <v>9971.806</v>
      </c>
      <c r="M25" s="693">
        <f t="shared" si="1"/>
        <v>10687.048999999999</v>
      </c>
      <c r="N25" s="693">
        <f t="shared" si="1"/>
        <v>10846.752</v>
      </c>
      <c r="O25" s="693">
        <f t="shared" si="1"/>
        <v>10579.183</v>
      </c>
      <c r="P25" s="693">
        <f t="shared" si="1"/>
        <v>10606.425000000001</v>
      </c>
      <c r="Q25" s="693">
        <f t="shared" si="1"/>
        <v>10730.566000000003</v>
      </c>
      <c r="R25" s="693">
        <f t="shared" si="1"/>
        <v>10161.48</v>
      </c>
      <c r="S25" s="693">
        <f t="shared" si="1"/>
        <v>10363.688999999998</v>
      </c>
      <c r="T25" s="693">
        <f t="shared" si="1"/>
        <v>10128.792</v>
      </c>
      <c r="U25" s="693">
        <f t="shared" si="1"/>
        <v>9718.005</v>
      </c>
    </row>
    <row r="26" spans="2:21" ht="12.75">
      <c r="B26" s="691"/>
      <c r="C26" s="691"/>
      <c r="D26" s="691"/>
      <c r="E26" s="691"/>
      <c r="F26" s="691"/>
      <c r="G26" s="691"/>
      <c r="H26" s="691"/>
      <c r="I26" s="691"/>
      <c r="J26" s="691"/>
      <c r="K26" s="691"/>
      <c r="L26" s="691"/>
      <c r="M26" s="691"/>
      <c r="N26" s="691"/>
      <c r="O26" s="691"/>
      <c r="P26" s="691"/>
      <c r="Q26" s="691"/>
      <c r="R26" s="691"/>
      <c r="S26" s="691"/>
      <c r="T26" s="691"/>
      <c r="U26" s="691"/>
    </row>
    <row r="27" spans="1:21" ht="12.75">
      <c r="A27" s="105" t="s">
        <v>736</v>
      </c>
      <c r="B27" s="691"/>
      <c r="C27" s="691"/>
      <c r="D27" s="691"/>
      <c r="E27" s="691"/>
      <c r="F27" s="691"/>
      <c r="G27" s="691"/>
      <c r="H27" s="691"/>
      <c r="I27" s="691"/>
      <c r="J27" s="691"/>
      <c r="K27" s="691"/>
      <c r="L27" s="691"/>
      <c r="M27" s="691"/>
      <c r="N27" s="691"/>
      <c r="O27" s="691"/>
      <c r="P27" s="691"/>
      <c r="Q27" s="691"/>
      <c r="R27" s="691"/>
      <c r="S27" s="691"/>
      <c r="T27" s="691"/>
      <c r="U27" s="691"/>
    </row>
    <row r="28" spans="1:21" ht="12.75">
      <c r="A28" s="104" t="s">
        <v>434</v>
      </c>
      <c r="B28" s="691">
        <f>IF('T9.14'!B5="-",0,'T9.14'!B5)+IF('T9.14'!B6="-",0,'T9.14'!B6)</f>
        <v>1423</v>
      </c>
      <c r="C28" s="691">
        <f>IF('T9.14'!C5="-",0,'T9.14'!C5)+IF('T9.14'!C6="-",0,'T9.14'!C6)</f>
        <v>1427</v>
      </c>
      <c r="D28" s="691">
        <f>IF('T9.14'!D5="-",0,'T9.14'!D5)+IF('T9.14'!D6="-",0,'T9.14'!D6)</f>
        <v>1437</v>
      </c>
      <c r="E28" s="691">
        <f>IF('T9.14'!E5="-",0,'T9.14'!E5)+IF('T9.14'!E6="-",0,'T9.14'!E6)</f>
        <v>1450</v>
      </c>
      <c r="F28" s="691">
        <f>IF('T9.14'!F5="-",0,'T9.14'!F5)+IF('T9.14'!F6="-",0,'T9.14'!F6)</f>
        <v>1033</v>
      </c>
      <c r="G28" s="691">
        <f>IF('T9.14'!G5="-",0,'T9.14'!G5)+IF('T9.14'!G6="-",0,'T9.14'!G6)</f>
        <v>1025</v>
      </c>
      <c r="H28" s="691">
        <f>IF('T9.14'!H5="-",0,'T9.14'!H5)+IF('T9.14'!H6="-",0,'T9.14'!H6)</f>
        <v>1000</v>
      </c>
      <c r="I28" s="691">
        <f>IF('T9.14'!I5="-",0,'T9.14'!I5)+IF('T9.14'!I6="-",0,'T9.14'!I6)</f>
        <v>990.852</v>
      </c>
      <c r="J28" s="691">
        <f>IF('T9.14'!J5="-",0,'T9.14'!J5)+IF('T9.14'!J6="-",0,'T9.14'!J6)</f>
        <v>1016.793</v>
      </c>
      <c r="K28" s="691">
        <f>IF('T9.14'!K5="-",0,'T9.14'!K5)+IF('T9.14'!K6="-",0,'T9.14'!K6)</f>
        <v>1064</v>
      </c>
      <c r="L28" s="691">
        <f>IF('T9.14'!L5="-",0,'T9.14'!L5)+IF('T9.14'!L6="-",0,'T9.14'!L6)</f>
        <v>1099</v>
      </c>
      <c r="M28" s="691">
        <f>IF('T9.14'!M5="-",0,'T9.14'!M5)+IF('T9.14'!M6="-",0,'T9.14'!M6)</f>
        <v>1121</v>
      </c>
      <c r="N28" s="691">
        <f>IF('T9.14'!N5="-",0,'T9.14'!N5)+IF('T9.14'!N6="-",0,'T9.14'!N6)</f>
        <v>1190.388</v>
      </c>
      <c r="O28" s="691">
        <f>IF('T9.14'!O5="-",0,'T9.14'!O5)+IF('T9.14'!O6="-",0,'T9.14'!O6)</f>
        <v>1207.5</v>
      </c>
      <c r="P28" s="691">
        <f>IF('T9.14'!P5="-",0,'T9.14'!P5)+IF('T9.14'!P6="-",0,'T9.14'!P6)</f>
        <v>1220.2</v>
      </c>
      <c r="Q28" s="691">
        <f>IF('T9.14'!Q5="-",0,'T9.14'!Q5)+IF('T9.14'!Q6="-",0,'T9.14'!Q6)</f>
        <v>1265</v>
      </c>
      <c r="R28" s="691">
        <f>IF('T9.14'!R5="-",0,'T9.14'!R5)+IF('T9.14'!R6="-",0,'T9.14'!R6)</f>
        <v>1226.3000000000002</v>
      </c>
      <c r="S28" s="691">
        <f>IF('T9.14'!S5="-",0,'T9.14'!S5)+IF('T9.14'!S6="-",0,'T9.14'!S6)</f>
        <v>1289.8999999999999</v>
      </c>
      <c r="T28" s="691">
        <f>IF('T9.14'!T5="-",0,'T9.14'!T5)+IF('T9.14'!T6="-",0,'T9.14'!T6)</f>
        <v>1255.879</v>
      </c>
      <c r="U28" s="691">
        <f>IF('T9.14'!U5="-",0,'T9.14'!U5)+IF('T9.14'!U6="-",0,'T9.14'!U6)</f>
        <v>1200.6689999999999</v>
      </c>
    </row>
    <row r="29" spans="1:21" ht="12.75">
      <c r="A29" s="5" t="s">
        <v>727</v>
      </c>
      <c r="B29" s="691">
        <f>IF('T9.14'!B18="-",0,'T9.14'!B18)+IF('T9.14'!B19="-",0,'T9.14'!B19)</f>
        <v>60.9</v>
      </c>
      <c r="C29" s="691">
        <f>IF('T9.14'!C18="-",0,'T9.14'!C18)+IF('T9.14'!C19="-",0,'T9.14'!C19)</f>
        <v>61.6</v>
      </c>
      <c r="D29" s="691">
        <f>IF('T9.14'!D18="-",0,'T9.14'!D18)+IF('T9.14'!D19="-",0,'T9.14'!D19)</f>
        <v>62.3</v>
      </c>
      <c r="E29" s="691">
        <f>IF('T9.14'!E18="-",0,'T9.14'!E18)+IF('T9.14'!E19="-",0,'T9.14'!E19)</f>
        <v>66.8</v>
      </c>
      <c r="F29" s="691">
        <f>IF('T9.14'!F18="-",0,'T9.14'!F18)+IF('T9.14'!F19="-",0,'T9.14'!F19)</f>
        <v>72.5</v>
      </c>
      <c r="G29" s="691">
        <f>IF('T9.14'!G18="-",0,'T9.14'!G18)+IF('T9.14'!G19="-",0,'T9.14'!G19)</f>
        <v>75.6</v>
      </c>
      <c r="H29" s="691">
        <f>IF('T9.14'!H18="-",0,'T9.14'!H18)+IF('T9.14'!H19="-",0,'T9.14'!H19)</f>
        <v>77</v>
      </c>
      <c r="I29" s="691">
        <f>IF('T9.14'!I18="-",0,'T9.14'!I18)+IF('T9.14'!I19="-",0,'T9.14'!I19)</f>
        <v>78</v>
      </c>
      <c r="J29" s="691">
        <f>IF('T9.14'!J18="-",0,'T9.14'!J18)+IF('T9.14'!J19="-",0,'T9.14'!J19)</f>
        <v>82</v>
      </c>
      <c r="K29" s="691">
        <f>IF('T9.14'!K18="-",0,'T9.14'!K18)+IF('T9.14'!K19="-",0,'T9.14'!K19)</f>
        <v>73</v>
      </c>
      <c r="L29" s="691">
        <f>IF('T9.14'!L18="-",0,'T9.14'!L18)+IF('T9.14'!L19="-",0,'T9.14'!L19)</f>
        <v>56.1</v>
      </c>
      <c r="M29" s="691">
        <f>IF('T9.14'!M18="-",0,'T9.14'!M18)+IF('T9.14'!M19="-",0,'T9.14'!M19)</f>
        <v>0</v>
      </c>
      <c r="N29" s="691">
        <f>IF('T9.14'!N18="-",0,'T9.14'!N18)+IF('T9.14'!N19="-",0,'T9.14'!N19)</f>
        <v>0</v>
      </c>
      <c r="O29" s="691">
        <f>IF('T9.14'!O18="-",0,'T9.14'!O18)+IF('T9.14'!O19="-",0,'T9.14'!O19)</f>
        <v>0</v>
      </c>
      <c r="P29" s="691">
        <f>IF('T9.14'!P18="-",0,'T9.14'!P18)+IF('T9.14'!P19="-",0,'T9.14'!P19)</f>
        <v>0</v>
      </c>
      <c r="Q29" s="691">
        <f>IF('T9.14'!Q18="-",0,'T9.14'!Q18)+IF('T9.14'!Q19="-",0,'T9.14'!Q19)</f>
        <v>0</v>
      </c>
      <c r="R29" s="691">
        <f>IF('T9.14'!R18="-",0,'T9.14'!R18)+IF('T9.14'!R19="-",0,'T9.14'!R19)</f>
        <v>0</v>
      </c>
      <c r="S29" s="691">
        <f>IF('T9.14'!S18="-",0,'T9.14'!S18)+IF('T9.14'!S19="-",0,'T9.14'!S19)</f>
        <v>0</v>
      </c>
      <c r="T29" s="691">
        <f>IF('T9.14'!T18="-",0,'T9.14'!T18)+IF('T9.14'!T19="-",0,'T9.14'!T19)</f>
        <v>0</v>
      </c>
      <c r="U29" s="691">
        <f>IF('T9.14'!U18="-",0,'T9.14'!U18)+IF('T9.14'!U19="-",0,'T9.14'!U19)</f>
        <v>0</v>
      </c>
    </row>
    <row r="30" spans="1:21" ht="12.75">
      <c r="A30" s="262" t="s">
        <v>728</v>
      </c>
      <c r="B30" s="691">
        <f>IF('T9.14'!B29="-",0,'T9.14'!B29)+IF('T9.14'!B30="-",0,'T9.14'!B30)</f>
        <v>0</v>
      </c>
      <c r="C30" s="691">
        <f>IF('T9.14'!C29="-",0,'T9.14'!C29)+IF('T9.14'!C30="-",0,'T9.14'!C30)</f>
        <v>0</v>
      </c>
      <c r="D30" s="691">
        <f>IF('T9.14'!D29="-",0,'T9.14'!D29)+IF('T9.14'!D30="-",0,'T9.14'!D30)</f>
        <v>0</v>
      </c>
      <c r="E30" s="691">
        <f>IF('T9.14'!E29="-",0,'T9.14'!E29)+IF('T9.14'!E30="-",0,'T9.14'!E30)</f>
        <v>0</v>
      </c>
      <c r="F30" s="691">
        <f>IF('T9.14'!F29="-",0,'T9.14'!F29)+IF('T9.14'!F30="-",0,'T9.14'!F30)</f>
        <v>0</v>
      </c>
      <c r="G30" s="691">
        <f>IF('T9.14'!G29="-",0,'T9.14'!G29)+IF('T9.14'!G30="-",0,'T9.14'!G30)</f>
        <v>0</v>
      </c>
      <c r="H30" s="691">
        <f>IF('T9.14'!H29="-",0,'T9.14'!H29)+IF('T9.14'!H30="-",0,'T9.14'!H30)</f>
        <v>0</v>
      </c>
      <c r="I30" s="691">
        <f>IF('T9.14'!I29="-",0,'T9.14'!I29)+IF('T9.14'!I30="-",0,'T9.14'!I30)</f>
        <v>0</v>
      </c>
      <c r="J30" s="691">
        <f>IF('T9.14'!J29="-",0,'T9.14'!J29)+IF('T9.14'!J30="-",0,'T9.14'!J30)</f>
        <v>0</v>
      </c>
      <c r="K30" s="691">
        <f>IF('T9.14'!K29="-",0,'T9.14'!K29)+IF('T9.14'!K30="-",0,'T9.14'!K30)</f>
        <v>0</v>
      </c>
      <c r="L30" s="691">
        <f>IF('T9.14'!L29="-",0,'T9.14'!L29)+IF('T9.14'!L30="-",0,'T9.14'!L30)</f>
        <v>0</v>
      </c>
      <c r="M30" s="691">
        <f>IF('T9.14'!M29="-",0,'T9.14'!M29)+IF('T9.14'!M30="-",0,'T9.14'!M30)</f>
        <v>59.415</v>
      </c>
      <c r="N30" s="691">
        <f>IF('T9.14'!N29="-",0,'T9.14'!N29)+IF('T9.14'!N30="-",0,'T9.14'!N30)</f>
        <v>65.016</v>
      </c>
      <c r="O30" s="691">
        <f>IF('T9.14'!O29="-",0,'T9.14'!O29)+IF('T9.14'!O30="-",0,'T9.14'!O30)</f>
        <v>67.5</v>
      </c>
      <c r="P30" s="691">
        <f>IF('T9.14'!P29="-",0,'T9.14'!P29)+IF('T9.14'!P30="..",0,'T9.14'!P30)</f>
        <v>69</v>
      </c>
      <c r="Q30" s="691">
        <f>IF('T9.14'!Q29="-",0,'T9.14'!Q29)+IF('T9.14'!Q30="..",0,'T9.14'!Q30)</f>
        <v>70</v>
      </c>
      <c r="R30" s="691">
        <f>IF('T9.14'!R29="-",0,'T9.14'!R29)+IF('T9.14'!R30="..",0,'T9.14'!R30)</f>
        <v>68</v>
      </c>
      <c r="S30" s="691">
        <f>IF('T9.14'!S29="-",0,'T9.14'!S29)+IF('T9.14'!S30="..",0,'T9.14'!S30)</f>
        <v>68</v>
      </c>
      <c r="T30" s="691">
        <f>IF('T9.14'!T29="-",0,'T9.14'!T29)+IF('T9.14'!T30="..",0,'T9.14'!T30)</f>
        <v>64</v>
      </c>
      <c r="U30" s="691">
        <f>IF('T9.14'!U29="-",0,'T9.14'!U29)+IF('T9.14'!U30="..",0,'T9.14'!U30)</f>
        <v>63</v>
      </c>
    </row>
    <row r="31" spans="1:21" ht="12.75">
      <c r="A31" s="262" t="s">
        <v>203</v>
      </c>
      <c r="B31" s="691">
        <f>IF('T9.14'!B38="-",0,'T9.14'!B38)</f>
        <v>42.2</v>
      </c>
      <c r="C31" s="691">
        <f>IF('T9.14'!C38="-",0,'T9.14'!C38)</f>
        <v>53.9</v>
      </c>
      <c r="D31" s="691">
        <f>IF('T9.14'!D38="-",0,'T9.14'!D38)</f>
        <v>62.2</v>
      </c>
      <c r="E31" s="691">
        <f>IF('T9.14'!E38="-",0,'T9.14'!E38)</f>
        <v>65.2</v>
      </c>
      <c r="F31" s="691">
        <f>IF('T9.14'!F38="-",0,'T9.14'!F38)</f>
        <v>67</v>
      </c>
      <c r="G31" s="691">
        <f>IF('T9.14'!G38="-",0,'T9.14'!G38)</f>
        <v>68.6</v>
      </c>
      <c r="H31" s="691">
        <f>IF('T9.14'!H38="-",0,'T9.14'!H38)</f>
        <v>71</v>
      </c>
      <c r="I31" s="691">
        <f>IF('T9.14'!I38="-",0,'T9.14'!I38)</f>
        <v>73</v>
      </c>
      <c r="J31" s="691">
        <f>IF('T9.14'!J38="-",0,'T9.14'!J38)</f>
        <v>72</v>
      </c>
      <c r="K31" s="691">
        <f>IF('T9.14'!K38="-",0,'T9.14'!K38)</f>
        <v>74</v>
      </c>
      <c r="L31" s="691">
        <f>IF('T9.14'!L38="-",0,'T9.14'!L38)</f>
        <v>75</v>
      </c>
      <c r="M31" s="691">
        <f>IF('T9.14'!M38="-",0,'T9.14'!M38)</f>
        <v>80</v>
      </c>
      <c r="N31" s="691">
        <f>IF('T9.14'!N38="-",0,'T9.14'!N38)</f>
        <v>82.6</v>
      </c>
      <c r="O31" s="691">
        <f>IF('T9.14'!O38="-",0,'T9.14'!O38)</f>
        <v>83</v>
      </c>
      <c r="P31" s="691">
        <f>IF('T9.14'!P38="-",0,'T9.14'!P38)</f>
        <v>83</v>
      </c>
      <c r="Q31" s="691">
        <f>IF('T9.14'!Q38="-",0,'T9.14'!Q38)</f>
        <v>81</v>
      </c>
      <c r="R31" s="691">
        <f>IF('T9.14'!R38="-",0,'T9.14'!R38)</f>
        <v>83</v>
      </c>
      <c r="S31" s="691">
        <f>IF('T9.14'!S38="-",0,'T9.14'!S38)</f>
        <v>87</v>
      </c>
      <c r="T31" s="691">
        <f>IF('T9.14'!T38="-",0,'T9.14'!T38)</f>
        <v>87.8</v>
      </c>
      <c r="U31" s="691">
        <f>IF('T9.14'!U38="-",0,'T9.14'!U38)</f>
        <v>87</v>
      </c>
    </row>
    <row r="32" spans="1:21" ht="12.75">
      <c r="A32" s="262" t="s">
        <v>265</v>
      </c>
      <c r="B32" s="691">
        <f>IF('T9.14'!B62="..",0,'T9.14'!B62)+IF('T9.14'!B63="..",0,'T9.14'!B63)</f>
        <v>0</v>
      </c>
      <c r="C32" s="691">
        <f>IF('T9.14'!C62="..",0,'T9.14'!C62)+IF('T9.14'!C63="..",0,'T9.14'!C63)</f>
        <v>0</v>
      </c>
      <c r="D32" s="691">
        <f>IF('T9.14'!D62="..",0,'T9.14'!D62)+IF('T9.14'!D63="..",0,'T9.14'!D63)</f>
        <v>0</v>
      </c>
      <c r="E32" s="691">
        <f>IF('T9.14'!E62="..",0,'T9.14'!E62)+IF('T9.14'!E63="..",0,'T9.14'!E63)</f>
        <v>217.789</v>
      </c>
      <c r="F32" s="691">
        <f>IF('T9.14'!F62="..",0,'T9.14'!F62)+IF('T9.14'!F63="..",0,'T9.14'!F63)</f>
        <v>287.743</v>
      </c>
      <c r="G32" s="691">
        <f>IF('T9.14'!G62="..",0,'T9.14'!G62)+IF('T9.14'!G63="..",0,'T9.14'!G63)</f>
        <v>307.093</v>
      </c>
      <c r="H32" s="691">
        <f>IF('T9.14'!H62="..",0,'T9.14'!H62)+IF('T9.14'!H63="..",0,'T9.14'!H63)</f>
        <v>273.511</v>
      </c>
      <c r="I32" s="691">
        <f>IF('T9.14'!I62="..",0,'T9.14'!I62)+IF('T9.14'!I63="..",0,'T9.14'!I63)</f>
        <v>277</v>
      </c>
      <c r="J32" s="691">
        <f>IF('T9.14'!J62="..",0,'T9.14'!J62)+IF('T9.14'!J63="..",0,'T9.14'!J63)</f>
        <v>290.263</v>
      </c>
      <c r="K32" s="691">
        <f>IF('T9.14'!K62="..",0,'T9.14'!K62)+IF('T9.14'!K63="..",0,'T9.14'!K63)</f>
        <v>299</v>
      </c>
      <c r="L32" s="691">
        <f>IF('T9.14'!L62="..",0,'T9.14'!L62)+IF('T9.14'!L63="..",0,'T9.14'!L63)</f>
        <v>327</v>
      </c>
      <c r="M32" s="691">
        <f>IF('T9.14'!M62="..",0,'T9.14'!M62)+IF('T9.14'!M63="..",0,'T9.14'!M63)</f>
        <v>322</v>
      </c>
      <c r="N32" s="691">
        <f>IF('T9.14'!N62="..",0,'T9.14'!N62)+IF('T9.14'!N63="..",0,'T9.14'!N63)</f>
        <v>340</v>
      </c>
      <c r="O32" s="691">
        <f>IF('T9.14'!O62="..",0,'T9.14'!O62)+IF('T9.14'!O63="..",0,'T9.14'!O63)</f>
        <v>322</v>
      </c>
      <c r="P32" s="691">
        <f>IF('T9.14'!P62="..",0,'T9.14'!P62)+IF('T9.14'!P63="..",0,'T9.14'!P63)</f>
        <v>345.223</v>
      </c>
      <c r="Q32" s="691">
        <f>IF('T9.14'!Q62="..",0,'T9.14'!Q62)+IF('T9.14'!Q63="..",0,'T9.14'!Q63)</f>
        <v>367.445</v>
      </c>
      <c r="R32" s="691">
        <f>IF('T9.14'!R62="..",0,'T9.14'!R62)+IF('T9.14'!R63="..",0,'T9.14'!R63)</f>
        <v>274</v>
      </c>
      <c r="S32" s="691">
        <f>IF('T9.14'!S62="..",0,'T9.14'!S62)+IF('T9.14'!S63="..",0,'T9.14'!S63)</f>
        <v>281.5</v>
      </c>
      <c r="T32" s="691">
        <f>IF('T9.14'!T62="..",0,'T9.14'!T62)+IF('T9.14'!T63="..",0,'T9.14'!T63)</f>
        <v>361</v>
      </c>
      <c r="U32" s="691">
        <f>IF('T9.14'!U62="..",0,'T9.14'!U62)+IF('T9.14'!U63="..",0,'T9.14'!U63)</f>
        <v>410</v>
      </c>
    </row>
    <row r="33" spans="1:21" ht="12.75">
      <c r="A33" s="262" t="s">
        <v>729</v>
      </c>
      <c r="B33" s="691">
        <f>IF('T9.16 (cont)'!B15="-",0,'T9.16 (cont)'!B15)+IF('T9.16 cont'!B15="-",0,'T9.16 cont'!B15)</f>
        <v>3.9</v>
      </c>
      <c r="C33" s="691">
        <f>IF('T9.16 (cont)'!C15="-",0,'T9.16 (cont)'!C15)+IF('T9.16 cont'!C15="-",0,'T9.16 cont'!C15)</f>
        <v>5.6</v>
      </c>
      <c r="D33" s="691">
        <f>IF('T9.16 (cont)'!D15="-",0,'T9.16 (cont)'!D15)+IF('T9.16 cont'!D15="-",0,'T9.16 cont'!D15)</f>
        <v>5.8</v>
      </c>
      <c r="E33" s="691">
        <f>IF('T9.16 (cont)'!E15="-",0,'T9.16 (cont)'!E15)+IF('T9.16 cont'!E15="-",0,'T9.16 cont'!E15)</f>
        <v>5.6</v>
      </c>
      <c r="F33" s="691">
        <f>IF('T9.16 (cont)'!F15="-",0,'T9.16 (cont)'!F15)+IF('T9.16 cont'!F15="-",0,'T9.16 cont'!F15)</f>
        <v>5.5</v>
      </c>
      <c r="G33" s="691">
        <f>IF('T9.16 (cont)'!G15="-",0,'T9.16 (cont)'!G15)+IF('T9.16 cont'!G15="-",0,'T9.16 cont'!G15)</f>
        <v>5.800000000000001</v>
      </c>
      <c r="H33" s="691">
        <f>IF('T9.16 (cont)'!H15="-",0,'T9.16 (cont)'!H15)+IF('T9.16 cont'!H15="-",0,'T9.16 cont'!H15)</f>
        <v>6.6000000000000005</v>
      </c>
      <c r="I33" s="691">
        <f>IF('T9.16 (cont)'!I15="-",0,'T9.16 (cont)'!I15)+IF('T9.16 cont'!I15="-",0,'T9.16 cont'!I15)</f>
        <v>6.199999999999999</v>
      </c>
      <c r="J33" s="691">
        <f>IF('T9.16 (cont)'!J15="-",0,'T9.16 (cont)'!J15)+IF('T9.16 cont'!J15="-",0,'T9.16 cont'!J15)</f>
        <v>4.9</v>
      </c>
      <c r="K33" s="691">
        <f>IF('T9.16 (cont)'!K15="-",0,'T9.16 (cont)'!K15)+IF('T9.16 cont'!K15="-",0,'T9.16 cont'!K15)</f>
        <v>1.23</v>
      </c>
      <c r="L33" s="691">
        <f>IF('T9.16 (cont)'!L15="-",0,'T9.16 (cont)'!L15)+IF('T9.16 cont'!L15="-",0,'T9.16 cont'!L15)</f>
        <v>0</v>
      </c>
      <c r="M33" s="691">
        <f>IF('T9.16 (cont)'!M15="-",0,'T9.16 (cont)'!M15)+IF('T9.16 cont'!M15="-",0,'T9.16 cont'!M15)</f>
        <v>0</v>
      </c>
      <c r="N33" s="691">
        <f>IF('T9.16 (cont)'!N15="-",0,'T9.16 (cont)'!N15)+IF('T9.16 cont'!N15="-",0,'T9.16 cont'!N15)</f>
        <v>0</v>
      </c>
      <c r="O33" s="691">
        <f>IF('T9.16 (cont)'!O15="-",0,'T9.16 (cont)'!O15)+IF('T9.16 cont'!O15="-",0,'T9.16 cont'!O15)</f>
        <v>0</v>
      </c>
      <c r="P33" s="691">
        <f>IF('T9.16 (cont)'!P15="-",0,'T9.16 (cont)'!P15)+IF('T9.16 cont'!P15="-",0,'T9.16 cont'!P15)</f>
        <v>0</v>
      </c>
      <c r="Q33" s="691">
        <f>IF('T9.16 (cont)'!Q15="-",0,'T9.16 (cont)'!Q15)+IF('T9.16 cont'!Q15="-",0,'T9.16 cont'!Q15)</f>
        <v>0</v>
      </c>
      <c r="R33" s="691">
        <f>IF('T9.16 (cont)'!R15="-",0,'T9.16 (cont)'!R15)+IF('T9.16 cont'!R15="-",0,'T9.16 cont'!R15)</f>
        <v>0</v>
      </c>
      <c r="S33" s="691">
        <f>IF('T9.16 (cont)'!S15="-",0,'T9.16 (cont)'!S15)+IF('T9.16 cont'!S15="-",0,'T9.16 cont'!S15)</f>
        <v>0</v>
      </c>
      <c r="T33" s="691">
        <f>IF('T9.16 (cont)'!T15="-",0,'T9.16 (cont)'!T15)+IF('T9.16 cont'!T15="-",0,'T9.16 cont'!T15)</f>
        <v>0</v>
      </c>
      <c r="U33" s="691">
        <f>IF('T9.16 (cont)'!U15="-",0,'T9.16 (cont)'!U15)+IF('T9.16 cont'!U15="-",0,'T9.16 cont'!U15)</f>
        <v>0</v>
      </c>
    </row>
    <row r="34" spans="1:21" ht="12.75">
      <c r="A34" s="262" t="s">
        <v>239</v>
      </c>
      <c r="B34" s="691">
        <f>IF('T9.16 (cont)'!B18="-",0,'T9.16 (cont)'!B18)+IF('T9.16 cont'!B18="-",0,'T9.16 cont'!B18)</f>
        <v>358.70000000000005</v>
      </c>
      <c r="C34" s="691">
        <f>IF('T9.16 (cont)'!C18="-",0,'T9.16 (cont)'!C18)+IF('T9.16 cont'!C18="-",0,'T9.16 cont'!C18)</f>
        <v>370.8</v>
      </c>
      <c r="D34" s="691">
        <f>IF('T9.16 (cont)'!D18="-",0,'T9.16 (cont)'!D18)+IF('T9.16 cont'!D18="-",0,'T9.16 cont'!D18)</f>
        <v>399.1</v>
      </c>
      <c r="E34" s="691">
        <f>IF('T9.16 (cont)'!E18="-",0,'T9.16 (cont)'!E18)+IF('T9.16 cont'!E18="-",0,'T9.16 cont'!E18)</f>
        <v>426.9</v>
      </c>
      <c r="F34" s="691">
        <f>IF('T9.16 (cont)'!F18="-",0,'T9.16 (cont)'!F18)+IF('T9.16 cont'!F18="-",0,'T9.16 cont'!F18)</f>
        <v>433.9</v>
      </c>
      <c r="G34" s="691">
        <f>IF('T9.16 (cont)'!G18="-",0,'T9.16 (cont)'!G18)+IF('T9.16 cont'!G18="-",0,'T9.16 cont'!G18)</f>
        <v>421.7</v>
      </c>
      <c r="H34" s="691">
        <f>IF('T9.16 (cont)'!H18="-",0,'T9.16 (cont)'!H18)+IF('T9.16 cont'!H18="-",0,'T9.16 cont'!H18)</f>
        <v>432.2</v>
      </c>
      <c r="I34" s="691">
        <f>IF('T9.16 (cont)'!I18="-",0,'T9.16 (cont)'!I18)+IF('T9.16 cont'!I18="-",0,'T9.16 cont'!I18)</f>
        <v>451.3</v>
      </c>
      <c r="J34" s="691">
        <f>IF('T9.16 (cont)'!J18="-",0,'T9.16 (cont)'!J18)+IF('T9.16 cont'!J18="-",0,'T9.16 cont'!J18)</f>
        <v>462.90000000000003</v>
      </c>
      <c r="K34" s="691">
        <f>IF('T9.16 (cont)'!K18="-",0,'T9.16 (cont)'!K18)+IF('T9.16 cont'!K18="-",0,'T9.16 cont'!K18)</f>
        <v>493</v>
      </c>
      <c r="L34" s="691">
        <f>IF('T9.16 (cont)'!L18="-",0,'T9.16 (cont)'!L18)+17.36</f>
        <v>521.46</v>
      </c>
      <c r="M34" s="691">
        <f>IF('T9.16 (cont)'!M18="-",0,'T9.16 (cont)'!M18)+29.1</f>
        <v>578.264</v>
      </c>
      <c r="N34" s="691">
        <f>IF('T9.16 (cont)'!N18="-",0,'T9.16 (cont)'!N18)+IF('T9.16 cont'!N18="-",0,'T9.16 cont'!N18)</f>
        <v>586.1999999999999</v>
      </c>
      <c r="O34" s="691">
        <f>IF('T9.16 (cont)'!O18="-",0,'T9.16 (cont)'!O18)+IF('T9.16 cont'!O18="-",0,'T9.16 cont'!O18)</f>
        <v>606.8</v>
      </c>
      <c r="P34" s="691">
        <f>IF('T9.16 (cont)'!P18="-",0,'T9.16 (cont)'!P18)+IF('T9.16 cont'!P18="-",0,'T9.16 cont'!P18)</f>
        <v>611.5</v>
      </c>
      <c r="Q34" s="691">
        <f>IF('T9.16 (cont)'!Q18="-",0,'T9.16 (cont)'!Q18)+IF('T9.16 cont'!Q18="-",0,'T9.16 cont'!Q18)</f>
        <v>635</v>
      </c>
      <c r="R34" s="691">
        <f>IF('T9.16 (cont)'!R18="-",0,'T9.16 (cont)'!R18)+IF('T9.16 cont'!R18="-",0,'T9.16 cont'!R18)</f>
        <v>620.2</v>
      </c>
      <c r="S34" s="691">
        <f>IF('T9.16 (cont)'!S18="-",0,'T9.16 (cont)'!S18)+IF('T9.16 cont'!S18="-",0,'T9.16 cont'!S18)</f>
        <v>617.8</v>
      </c>
      <c r="T34" s="691">
        <f>IF('T9.16 (cont)'!T18="-",0,'T9.16 (cont)'!T18)+IF('T9.16 cont'!T18="-",0,'T9.16 cont'!T18)</f>
        <v>597.2</v>
      </c>
      <c r="U34" s="691">
        <f>IF('T9.16 (cont)'!U18="-",0,'T9.16 (cont)'!U18)+IF('T9.16 cont'!U18="-",0,'T9.16 cont'!U18)</f>
        <v>615.8</v>
      </c>
    </row>
    <row r="35" spans="1:21" ht="12.75">
      <c r="A35" s="262" t="s">
        <v>466</v>
      </c>
      <c r="B35" s="691">
        <f>IF('T9.16 (cont)'!B23="-",0,'T9.16 (cont)'!B23)+IF('T9.16 cont'!B23="-",0,'T9.16 cont'!B23)</f>
        <v>0</v>
      </c>
      <c r="C35" s="691">
        <f>IF('T9.16 (cont)'!C23="-",0,'T9.16 (cont)'!C23)+IF('T9.16 cont'!C23="-",0,'T9.16 cont'!C23)</f>
        <v>0</v>
      </c>
      <c r="D35" s="691">
        <f>IF('T9.16 (cont)'!D23="-",0,'T9.16 (cont)'!D23)+IF('T9.16 cont'!D23="-",0,'T9.16 cont'!D23)</f>
        <v>0</v>
      </c>
      <c r="E35" s="691">
        <f>IF('T9.16 (cont)'!E23="-",0,'T9.16 (cont)'!E23)+IF('T9.16 cont'!E23="-",0,'T9.16 cont'!E23)</f>
        <v>0</v>
      </c>
      <c r="F35" s="691">
        <f>IF('T9.16 (cont)'!F23="-",0,'T9.16 (cont)'!F23)+IF('T9.16 cont'!F23="-",0,'T9.16 cont'!F23)</f>
        <v>22.400000000000002</v>
      </c>
      <c r="G35" s="691">
        <f>IF('T9.16 (cont)'!G23="-",0,'T9.16 (cont)'!G23)+IF('T9.16 cont'!G23="-",0,'T9.16 cont'!G23)</f>
        <v>21.1</v>
      </c>
      <c r="H35" s="691">
        <f>IF('T9.16 (cont)'!H23="-",0,'T9.16 (cont)'!H23)+IF('T9.16 cont'!H23="-",0,'T9.16 cont'!H23)</f>
        <v>22.400000000000002</v>
      </c>
      <c r="I35" s="691">
        <f>IF('T9.16 (cont)'!I23="-",0,'T9.16 (cont)'!I23)+IF('T9.16 cont'!I23="-",0,'T9.16 cont'!I23)</f>
        <v>21.400000000000002</v>
      </c>
      <c r="J35" s="691">
        <f>IF('T9.16 (cont)'!J23="-",0,'T9.16 (cont)'!J23)+IF('T9.16 cont'!J23="-",0,'T9.16 cont'!J23)</f>
        <v>47.693000000000005</v>
      </c>
      <c r="K35" s="691">
        <f>IF('T9.16 (cont)'!K23="-",0,'T9.16 (cont)'!K23)+IF('T9.16 cont'!K23="-",0,'T9.16 cont'!K23)</f>
        <v>47.548</v>
      </c>
      <c r="L35" s="691">
        <f>IF('T9.16 (cont)'!L23="-",0,'T9.16 (cont)'!L23)+IF('T9.16 cont'!L23="-",0,'T9.16 cont'!L23)</f>
        <v>34.9</v>
      </c>
      <c r="M35" s="691">
        <f>IF('T9.16 (cont)'!M23="-",0,'T9.16 (cont)'!M23)+IF('T9.16 cont'!M23="-",0,'T9.16 cont'!M23)</f>
        <v>38.991</v>
      </c>
      <c r="N35" s="691">
        <f>IF('T9.16 (cont)'!N23="-",0,'T9.16 (cont)'!N23)+IF('T9.16 cont'!N23="-",0,'T9.16 cont'!N23)</f>
        <v>35.021</v>
      </c>
      <c r="O35" s="691">
        <f>IF('T9.16 (cont)'!O23="-",0,'T9.16 (cont)'!O23)+IF('T9.16 cont'!O23="-",0,'T9.16 cont'!O23)</f>
        <v>45</v>
      </c>
      <c r="P35" s="691">
        <f>IF('T9.16 (cont)'!P23="-",0,'T9.16 (cont)'!P23)+IF('T9.16 cont'!P23="-",0,'T9.16 cont'!P23)</f>
        <v>39.9</v>
      </c>
      <c r="Q35" s="691">
        <f>IF('T9.16 (cont)'!Q23="-",0,'T9.16 (cont)'!Q23)+IF('T9.16 cont'!Q23="-",0,'T9.16 cont'!Q23)</f>
        <v>36.56</v>
      </c>
      <c r="R35" s="691">
        <f>IF('T9.16 (cont)'!R23="-",0,'T9.16 (cont)'!R23)+IF('T9.16 cont'!R23="-",0,'T9.16 cont'!R23)</f>
        <v>36.5</v>
      </c>
      <c r="S35" s="691">
        <f>IF('T9.16 (cont)'!S23="-",0,'T9.16 (cont)'!S23)+IF('T9.16 cont'!S23="-",0,'T9.16 cont'!S23)</f>
        <v>36.45</v>
      </c>
      <c r="T35" s="691">
        <f>IF('T9.16 (cont)'!T23="-",0,'T9.16 (cont)'!T23)+IF('T9.16 cont'!T23="-",0,'T9.16 cont'!T23)</f>
        <v>33.8</v>
      </c>
      <c r="U35" s="691">
        <f>IF('T9.16 (cont)'!U23="-",0,'T9.16 (cont)'!U23)+IF('T9.16 cont'!U23="-",0,'T9.16 cont'!U23)</f>
        <v>33.4</v>
      </c>
    </row>
    <row r="36" spans="1:21" ht="12.75">
      <c r="A36" s="262" t="s">
        <v>240</v>
      </c>
      <c r="B36" s="691">
        <f>IF('T9.16 (cont)'!B27="-",0,'T9.16 (cont)'!B27)+IF('T9.16 cont'!B26="-",0,'T9.16 cont'!B26)</f>
        <v>185.3</v>
      </c>
      <c r="C36" s="691">
        <f>IF('T9.16 (cont)'!C27="-",0,'T9.16 (cont)'!C27)+IF('T9.16 cont'!C26="-",0,'T9.16 cont'!C26)</f>
        <v>205.8</v>
      </c>
      <c r="D36" s="691">
        <f>IF('T9.16 (cont)'!D27="-",0,'T9.16 (cont)'!D27)+IF('T9.16 cont'!D26="-",0,'T9.16 cont'!D26)</f>
        <v>206.2</v>
      </c>
      <c r="E36" s="691">
        <f>IF('T9.16 (cont)'!E27="-",0,'T9.16 (cont)'!E27)+IF('T9.16 cont'!E26="-",0,'T9.16 cont'!E26)</f>
        <v>219.4</v>
      </c>
      <c r="F36" s="691">
        <f>IF('T9.16 (cont)'!F27="-",0,'T9.16 (cont)'!F27)+IF('T9.16 cont'!F26="-",0,'T9.16 cont'!F26)</f>
        <v>231</v>
      </c>
      <c r="G36" s="691">
        <f>IF('T9.16 (cont)'!G27="-",0,'T9.16 (cont)'!G27)+IF('T9.16 cont'!G26="-",0,'T9.16 cont'!G26)</f>
        <v>230.4</v>
      </c>
      <c r="H36" s="691">
        <f>IF('T9.16 (cont)'!H27="-",0,'T9.16 (cont)'!H27)+IF('T9.16 cont'!H26="-",0,'T9.16 cont'!H26)</f>
        <v>227.2</v>
      </c>
      <c r="I36" s="691">
        <f>IF('T9.16 (cont)'!I27="-",0,'T9.16 (cont)'!I27)+IF('T9.16 cont'!I26="-",0,'T9.16 cont'!I26)</f>
        <v>223.1</v>
      </c>
      <c r="J36" s="691">
        <f>IF('T9.16 (cont)'!J27="-",0,'T9.16 (cont)'!J27)+IF('T9.16 cont'!J27="-",0,'T9.16 cont'!J27)</f>
        <v>217.1</v>
      </c>
      <c r="K36" s="691">
        <f>IF('T9.16 (cont)'!K27="-",0,'T9.16 (cont)'!K27)+IF('T9.16 cont'!K27="-",0,'T9.16 cont'!K27)</f>
        <v>220.4</v>
      </c>
      <c r="L36" s="691">
        <f>IF('T9.16 (cont)'!L27="-",0,'T9.16 (cont)'!L27)+IF('T9.16 cont'!L27="-",0,'T9.16 cont'!L27)</f>
        <v>244.23499999999999</v>
      </c>
      <c r="M36" s="691">
        <f>IF('T9.16 (cont)'!M27="-",0,'T9.16 (cont)'!M27)+IF('T9.16 cont'!M27="-",0,'T9.16 cont'!M27)</f>
        <v>256.6</v>
      </c>
      <c r="N36" s="691">
        <f>IF('T9.16 (cont)'!N27="-",0,'T9.16 (cont)'!N27)+IF('T9.16 cont'!N27="-",0,'T9.16 cont'!N27)</f>
        <v>266.248</v>
      </c>
      <c r="O36" s="691">
        <f>IF('T9.16 (cont)'!O27="-",0,'T9.16 (cont)'!O27)+IF('T9.16 cont'!O27="-",0,'T9.16 cont'!O27)</f>
        <v>257.9</v>
      </c>
      <c r="P36" s="691">
        <f>IF('T9.16 (cont)'!P27="-",0,'T9.16 (cont)'!P27)+IF('T9.16 cont'!P27="-",0,'T9.16 cont'!P27)</f>
        <v>244.2</v>
      </c>
      <c r="Q36" s="691">
        <f>IF('T9.16 (cont)'!Q27="-",0,'T9.16 (cont)'!Q27)+IF('T9.16 cont'!Q27="-",0,'T9.16 cont'!Q27)</f>
        <v>262.2</v>
      </c>
      <c r="R36" s="691">
        <f>IF('T9.16 (cont)'!R27="-",0,'T9.16 (cont)'!R27)+IF('T9.16 cont'!R27="-",0,'T9.16 cont'!R27)</f>
        <v>262.1</v>
      </c>
      <c r="S36" s="691">
        <f>IF('T9.16 (cont)'!S27="-",0,'T9.16 (cont)'!S27)+IF('T9.16 cont'!S27="-",0,'T9.16 cont'!S27)</f>
        <v>266.3</v>
      </c>
      <c r="T36" s="691">
        <f>IF('T9.16 (cont)'!T27="-",0,'T9.16 (cont)'!T27)+IF('T9.16 cont'!T27="-",0,'T9.16 cont'!T27)</f>
        <v>235.8</v>
      </c>
      <c r="U36" s="691">
        <f>IF('T9.16 (cont)'!U27="-",0,'T9.16 (cont)'!U27)+IF('T9.16 cont'!U27="-",0,'T9.16 cont'!U27)</f>
        <v>254.44899999999998</v>
      </c>
    </row>
    <row r="37" spans="1:21" ht="12.75">
      <c r="A37" s="262" t="s">
        <v>398</v>
      </c>
      <c r="B37" s="691">
        <f>IF('T9.16 (cont)'!B30="-",0,'T9.16 (cont)'!B30)</f>
        <v>0</v>
      </c>
      <c r="C37" s="691">
        <f>IF('T9.16 (cont)'!C30="-",0,'T9.16 (cont)'!C30)</f>
        <v>0</v>
      </c>
      <c r="D37" s="691">
        <f>IF('T9.16 (cont)'!D30="-",0,'T9.16 (cont)'!D30)</f>
        <v>0</v>
      </c>
      <c r="E37" s="691">
        <f>IF('T9.16 (cont)'!E30="-",0,'T9.16 (cont)'!E30)</f>
        <v>0</v>
      </c>
      <c r="F37" s="691">
        <f>IF('T9.16 (cont)'!F30="-",0,'T9.16 (cont)'!F30)</f>
        <v>0</v>
      </c>
      <c r="G37" s="691">
        <f>IF('T9.16 (cont)'!G30="-",0,'T9.16 (cont)'!G30)</f>
        <v>0</v>
      </c>
      <c r="H37" s="691">
        <f>IF('T9.16 (cont)'!H30="-",0,'T9.16 (cont)'!H30)</f>
        <v>4.446</v>
      </c>
      <c r="I37" s="691">
        <f>IF('T9.16 (cont)'!I30="-",0,'T9.16 (cont)'!I30)</f>
        <v>3.92</v>
      </c>
      <c r="J37" s="691">
        <f>IF('T9.16 (cont)'!J30="-",0,'T9.16 (cont)'!J30)</f>
        <v>3.757</v>
      </c>
      <c r="K37" s="691">
        <f>IF('T9.16 (cont)'!K30="-",0,'T9.16 (cont)'!K30)</f>
        <v>3.396</v>
      </c>
      <c r="L37" s="691">
        <f>IF('T9.16 (cont)'!L30="-",0,'T9.16 (cont)'!L30)</f>
        <v>3.7</v>
      </c>
      <c r="M37" s="691">
        <f>IF('T9.16 (cont)'!M30="-",0,'T9.16 (cont)'!M30)</f>
        <v>3.8</v>
      </c>
      <c r="N37" s="691">
        <f>IF('T9.16 (cont)'!N30="-",0,'T9.16 (cont)'!N30)</f>
        <v>3.273</v>
      </c>
      <c r="O37" s="691">
        <f>IF('T9.16 (cont)'!O30="-",0,'T9.16 (cont)'!O30)</f>
        <v>0</v>
      </c>
      <c r="P37" s="691">
        <f>IF('T9.16 (cont)'!P30="-",0,'T9.16 (cont)'!P30)</f>
        <v>0</v>
      </c>
      <c r="Q37" s="691">
        <f>IF('T9.16 (cont)'!Q30="-",0,'T9.16 (cont)'!Q30)</f>
        <v>0</v>
      </c>
      <c r="R37" s="691">
        <f>IF('T9.16 (cont)'!R30="-",0,'T9.16 (cont)'!R30)</f>
        <v>0</v>
      </c>
      <c r="S37" s="691">
        <f>IF('T9.16 (cont)'!S30="-",0,'T9.16 (cont)'!S30)</f>
        <v>0</v>
      </c>
      <c r="T37" s="691">
        <f>IF('T9.16 (cont)'!T30="-",0,'T9.16 (cont)'!T30)</f>
        <v>0</v>
      </c>
      <c r="U37" s="691">
        <f>IF('T9.16 (cont)'!U30="-",0,'T9.16 (cont)'!U30)</f>
        <v>0</v>
      </c>
    </row>
    <row r="38" spans="1:21" ht="3" customHeight="1">
      <c r="A38" s="262"/>
      <c r="B38" s="691"/>
      <c r="C38" s="691"/>
      <c r="D38" s="691"/>
      <c r="E38" s="691"/>
      <c r="F38" s="691"/>
      <c r="G38" s="691"/>
      <c r="H38" s="691"/>
      <c r="I38" s="691"/>
      <c r="J38" s="691"/>
      <c r="K38" s="691"/>
      <c r="L38" s="691"/>
      <c r="M38" s="691"/>
      <c r="N38" s="691"/>
      <c r="O38" s="691"/>
      <c r="P38" s="691"/>
      <c r="Q38" s="691"/>
      <c r="R38" s="691"/>
      <c r="S38" s="691"/>
      <c r="T38" s="691"/>
      <c r="U38" s="691"/>
    </row>
    <row r="39" spans="1:21" ht="12.75">
      <c r="A39" s="686" t="s">
        <v>734</v>
      </c>
      <c r="B39" s="693">
        <f aca="true" t="shared" si="2" ref="B39:U39">SUM(B28:B37)</f>
        <v>2074.0000000000005</v>
      </c>
      <c r="C39" s="693">
        <f t="shared" si="2"/>
        <v>2124.7</v>
      </c>
      <c r="D39" s="693">
        <f t="shared" si="2"/>
        <v>2172.6</v>
      </c>
      <c r="E39" s="693">
        <f t="shared" si="2"/>
        <v>2451.689</v>
      </c>
      <c r="F39" s="693">
        <f t="shared" si="2"/>
        <v>2153.043</v>
      </c>
      <c r="G39" s="693">
        <f t="shared" si="2"/>
        <v>2155.2929999999997</v>
      </c>
      <c r="H39" s="693">
        <f t="shared" si="2"/>
        <v>2114.357</v>
      </c>
      <c r="I39" s="693">
        <f t="shared" si="2"/>
        <v>2124.772</v>
      </c>
      <c r="J39" s="693">
        <f t="shared" si="2"/>
        <v>2197.4060000000004</v>
      </c>
      <c r="K39" s="693">
        <f t="shared" si="2"/>
        <v>2275.5740000000005</v>
      </c>
      <c r="L39" s="693">
        <f t="shared" si="2"/>
        <v>2361.395</v>
      </c>
      <c r="M39" s="693">
        <f t="shared" si="2"/>
        <v>2460.07</v>
      </c>
      <c r="N39" s="693">
        <f t="shared" si="2"/>
        <v>2568.746</v>
      </c>
      <c r="O39" s="693">
        <f t="shared" si="2"/>
        <v>2589.7000000000003</v>
      </c>
      <c r="P39" s="693">
        <f t="shared" si="2"/>
        <v>2613.0229999999997</v>
      </c>
      <c r="Q39" s="693">
        <f t="shared" si="2"/>
        <v>2717.2049999999995</v>
      </c>
      <c r="R39" s="693">
        <f t="shared" si="2"/>
        <v>2570.1</v>
      </c>
      <c r="S39" s="693">
        <f t="shared" si="2"/>
        <v>2646.95</v>
      </c>
      <c r="T39" s="693">
        <f t="shared" si="2"/>
        <v>2635.4790000000003</v>
      </c>
      <c r="U39" s="693">
        <f t="shared" si="2"/>
        <v>2664.318</v>
      </c>
    </row>
    <row r="40" spans="1:21" ht="3" customHeight="1">
      <c r="A40" s="686"/>
      <c r="B40" s="691"/>
      <c r="C40" s="691"/>
      <c r="D40" s="691"/>
      <c r="E40" s="691"/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</row>
    <row r="41" spans="1:21" ht="12.75">
      <c r="A41" s="262" t="s">
        <v>732</v>
      </c>
      <c r="B41" s="691">
        <f>'T9.13'!C34</f>
        <v>421</v>
      </c>
      <c r="C41" s="691">
        <f>'T9.13'!D34</f>
        <v>454</v>
      </c>
      <c r="D41" s="691">
        <f>'T9.13'!E34</f>
        <v>516</v>
      </c>
      <c r="E41" s="691">
        <f>'T9.13'!F34</f>
        <v>576</v>
      </c>
      <c r="F41" s="691">
        <f>'T9.13'!G34</f>
        <v>506</v>
      </c>
      <c r="G41" s="691">
        <f>'T9.13'!H34</f>
        <v>572</v>
      </c>
      <c r="H41" s="691">
        <f>'T9.13'!I34</f>
        <v>561</v>
      </c>
      <c r="I41" s="691">
        <f>'T9.13'!J34</f>
        <v>570</v>
      </c>
      <c r="J41" s="691">
        <f>'T9.13'!K34</f>
        <v>501</v>
      </c>
      <c r="K41" s="691">
        <f>'T9.13'!L34</f>
        <v>464</v>
      </c>
      <c r="L41" s="691">
        <f>'T9.13'!M34</f>
        <v>487</v>
      </c>
      <c r="M41" s="691">
        <f>'T9.13'!N34</f>
        <v>490</v>
      </c>
      <c r="N41" s="691">
        <f>'T9.13'!O34</f>
        <v>513</v>
      </c>
      <c r="O41" s="691">
        <f>'T9.13'!P34</f>
        <v>435</v>
      </c>
      <c r="P41" s="691">
        <f>'T9.13'!Q34</f>
        <v>440</v>
      </c>
      <c r="Q41" s="691">
        <f>'T9.13'!R34</f>
        <v>479</v>
      </c>
      <c r="R41" s="691">
        <f>'T9.13'!S34</f>
        <v>452</v>
      </c>
      <c r="S41" s="691">
        <f>'T9.13'!T34</f>
        <v>460</v>
      </c>
      <c r="T41" s="691">
        <f>'T9.13'!U34</f>
        <v>457</v>
      </c>
      <c r="U41" s="691">
        <f>'T9.13'!V34</f>
        <v>430</v>
      </c>
    </row>
    <row r="42" spans="1:21" ht="12.75">
      <c r="A42" s="262" t="s">
        <v>733</v>
      </c>
      <c r="B42" s="691">
        <f>'T9.13'!C58</f>
        <v>0</v>
      </c>
      <c r="C42" s="691">
        <f>'T9.13'!D58</f>
        <v>0</v>
      </c>
      <c r="D42" s="691">
        <f>'T9.13'!E58</f>
        <v>0</v>
      </c>
      <c r="E42" s="691">
        <f>'T9.13'!F58</f>
        <v>0</v>
      </c>
      <c r="F42" s="691">
        <f>'T9.13'!G58</f>
        <v>0</v>
      </c>
      <c r="G42" s="691">
        <f>'T9.13'!H58</f>
        <v>0</v>
      </c>
      <c r="H42" s="691">
        <f>'T9.13'!I58</f>
        <v>0</v>
      </c>
      <c r="I42" s="691">
        <f>'T9.13'!J58</f>
        <v>0</v>
      </c>
      <c r="J42" s="691">
        <f>'T9.13'!K58</f>
        <v>0</v>
      </c>
      <c r="K42" s="691">
        <f>'T9.13'!L58</f>
        <v>0</v>
      </c>
      <c r="L42" s="691">
        <f>'T9.13'!M58</f>
        <v>44</v>
      </c>
      <c r="M42" s="691">
        <f>'T9.13'!N58</f>
        <v>77</v>
      </c>
      <c r="N42" s="691">
        <f>'T9.13'!O58</f>
        <v>88</v>
      </c>
      <c r="O42" s="691">
        <f>'T9.13'!P58</f>
        <v>88</v>
      </c>
      <c r="P42" s="691">
        <f>'T9.13'!Q58</f>
        <v>63</v>
      </c>
      <c r="Q42" s="691">
        <f>'T9.13'!R58</f>
        <v>52</v>
      </c>
      <c r="R42" s="691">
        <f>'T9.13'!S58</f>
        <v>35</v>
      </c>
      <c r="S42" s="691">
        <f>'T9.13'!T58</f>
        <v>20</v>
      </c>
      <c r="T42" s="691">
        <f>'T9.13'!U58</f>
        <v>51.658</v>
      </c>
      <c r="U42" s="691">
        <f>'T9.13'!V58</f>
        <v>20.5</v>
      </c>
    </row>
    <row r="43" spans="2:21" ht="3" customHeight="1">
      <c r="B43" s="691"/>
      <c r="C43" s="691"/>
      <c r="D43" s="691"/>
      <c r="E43" s="691"/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  <c r="S43" s="691"/>
      <c r="T43" s="691"/>
      <c r="U43" s="691"/>
    </row>
    <row r="44" spans="1:21" ht="12.75">
      <c r="A44" s="696" t="s">
        <v>141</v>
      </c>
      <c r="B44" s="697">
        <f>B39+SUM(B41:B42)</f>
        <v>2495.0000000000005</v>
      </c>
      <c r="C44" s="697">
        <f aca="true" t="shared" si="3" ref="C44:U44">C39+SUM(C41:C42)</f>
        <v>2578.7</v>
      </c>
      <c r="D44" s="697">
        <f t="shared" si="3"/>
        <v>2688.6</v>
      </c>
      <c r="E44" s="697">
        <f t="shared" si="3"/>
        <v>3027.689</v>
      </c>
      <c r="F44" s="697">
        <f t="shared" si="3"/>
        <v>2659.043</v>
      </c>
      <c r="G44" s="697">
        <f t="shared" si="3"/>
        <v>2727.2929999999997</v>
      </c>
      <c r="H44" s="697">
        <f t="shared" si="3"/>
        <v>2675.357</v>
      </c>
      <c r="I44" s="697">
        <f t="shared" si="3"/>
        <v>2694.772</v>
      </c>
      <c r="J44" s="697">
        <f t="shared" si="3"/>
        <v>2698.4060000000004</v>
      </c>
      <c r="K44" s="697">
        <f t="shared" si="3"/>
        <v>2739.5740000000005</v>
      </c>
      <c r="L44" s="697">
        <f t="shared" si="3"/>
        <v>2892.395</v>
      </c>
      <c r="M44" s="697">
        <f t="shared" si="3"/>
        <v>3027.07</v>
      </c>
      <c r="N44" s="697">
        <f t="shared" si="3"/>
        <v>3169.746</v>
      </c>
      <c r="O44" s="697">
        <f t="shared" si="3"/>
        <v>3112.7000000000003</v>
      </c>
      <c r="P44" s="697">
        <f t="shared" si="3"/>
        <v>3116.0229999999997</v>
      </c>
      <c r="Q44" s="697">
        <f t="shared" si="3"/>
        <v>3248.2049999999995</v>
      </c>
      <c r="R44" s="697">
        <f t="shared" si="3"/>
        <v>3057.1</v>
      </c>
      <c r="S44" s="697">
        <f t="shared" si="3"/>
        <v>3126.95</v>
      </c>
      <c r="T44" s="697">
        <f t="shared" si="3"/>
        <v>3144.137</v>
      </c>
      <c r="U44" s="697">
        <f t="shared" si="3"/>
        <v>3114.818</v>
      </c>
    </row>
  </sheetData>
  <sheetProtection/>
  <printOptions/>
  <pageMargins left="0.75" right="0.75" top="1" bottom="1" header="0.5" footer="0.5"/>
  <pageSetup horizontalDpi="600" verticalDpi="600" orientation="portrait" paperSize="9" scale="70" r:id="rId1"/>
  <headerFooter alignWithMargins="0">
    <oddHeader>&amp;R&amp;"Arial,Bold"&amp;14WATER TRANSPORT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6.57421875" style="25" customWidth="1"/>
    <col min="2" max="10" width="7.421875" style="25" hidden="1" customWidth="1"/>
    <col min="11" max="11" width="9.7109375" style="25" hidden="1" customWidth="1"/>
    <col min="12" max="18" width="9.7109375" style="25" customWidth="1"/>
    <col min="19" max="21" width="9.7109375" style="75" customWidth="1"/>
    <col min="22" max="22" width="10.8515625" style="25" customWidth="1"/>
    <col min="23" max="16384" width="9.140625" style="25" customWidth="1"/>
  </cols>
  <sheetData>
    <row r="1" spans="1:21" s="44" customFormat="1" ht="16.5">
      <c r="A1" s="532" t="s">
        <v>748</v>
      </c>
      <c r="B1" s="532"/>
      <c r="C1" s="532"/>
      <c r="D1" s="532"/>
      <c r="E1" s="532"/>
      <c r="F1" s="532"/>
      <c r="G1" s="532"/>
      <c r="H1" s="532"/>
      <c r="I1" s="532"/>
      <c r="J1" s="532"/>
      <c r="K1" s="65"/>
      <c r="L1" s="65"/>
      <c r="M1" s="65"/>
      <c r="N1" s="65"/>
      <c r="O1" s="65"/>
      <c r="P1" s="65"/>
      <c r="S1" s="62"/>
      <c r="T1" s="62"/>
      <c r="U1" s="62"/>
    </row>
    <row r="2" spans="1:21" s="44" customFormat="1" ht="10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5"/>
      <c r="L2" s="65"/>
      <c r="M2" s="65"/>
      <c r="N2" s="65"/>
      <c r="O2" s="65"/>
      <c r="P2" s="65"/>
      <c r="S2" s="62"/>
      <c r="T2" s="62"/>
      <c r="U2" s="62"/>
    </row>
    <row r="3" spans="1:22" s="44" customFormat="1" ht="15.75">
      <c r="A3" s="254"/>
      <c r="B3" s="256">
        <v>1991</v>
      </c>
      <c r="C3" s="255">
        <v>1992</v>
      </c>
      <c r="D3" s="256">
        <v>1993</v>
      </c>
      <c r="E3" s="255">
        <v>1994</v>
      </c>
      <c r="F3" s="256">
        <v>1995</v>
      </c>
      <c r="G3" s="255">
        <v>1996</v>
      </c>
      <c r="H3" s="256">
        <v>1997</v>
      </c>
      <c r="I3" s="255">
        <v>1998</v>
      </c>
      <c r="J3" s="256">
        <v>1999</v>
      </c>
      <c r="K3" s="255">
        <v>2000</v>
      </c>
      <c r="L3" s="256">
        <v>2001</v>
      </c>
      <c r="M3" s="256">
        <v>2002</v>
      </c>
      <c r="N3" s="256">
        <v>2003</v>
      </c>
      <c r="O3" s="374" t="s">
        <v>489</v>
      </c>
      <c r="P3" s="374" t="s">
        <v>554</v>
      </c>
      <c r="Q3" s="374" t="s">
        <v>585</v>
      </c>
      <c r="R3" s="374" t="s">
        <v>598</v>
      </c>
      <c r="S3" s="374" t="s">
        <v>629</v>
      </c>
      <c r="T3" s="374" t="s">
        <v>65</v>
      </c>
      <c r="U3" s="374" t="s">
        <v>12</v>
      </c>
      <c r="V3" s="374" t="s">
        <v>8</v>
      </c>
    </row>
    <row r="4" spans="1:22" s="44" customFormat="1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100"/>
      <c r="L4" s="100"/>
      <c r="M4" s="106"/>
      <c r="N4" s="106"/>
      <c r="O4" s="175"/>
      <c r="Q4" s="175"/>
      <c r="R4" s="149"/>
      <c r="S4" s="149"/>
      <c r="T4" s="149"/>
      <c r="U4" s="149"/>
      <c r="V4" s="149" t="s">
        <v>186</v>
      </c>
    </row>
    <row r="5" spans="1:14" s="44" customFormat="1" ht="15.75">
      <c r="A5" s="100" t="s">
        <v>448</v>
      </c>
      <c r="B5" s="100"/>
      <c r="C5" s="100"/>
      <c r="D5" s="100"/>
      <c r="E5" s="100"/>
      <c r="F5" s="100"/>
      <c r="G5" s="100"/>
      <c r="H5" s="100"/>
      <c r="I5" s="100"/>
      <c r="J5" s="100"/>
      <c r="K5" s="47"/>
      <c r="L5" s="47"/>
      <c r="M5" s="49"/>
      <c r="N5" s="49"/>
    </row>
    <row r="6" spans="1:22" s="44" customFormat="1" ht="15">
      <c r="A6" s="44" t="s">
        <v>187</v>
      </c>
      <c r="B6" s="125"/>
      <c r="C6" s="125"/>
      <c r="D6" s="125"/>
      <c r="E6" s="125"/>
      <c r="F6" s="125"/>
      <c r="G6" s="125"/>
      <c r="H6" s="102"/>
      <c r="I6" s="102"/>
      <c r="J6" s="47"/>
      <c r="K6" s="125" t="s">
        <v>189</v>
      </c>
      <c r="L6" s="125" t="s">
        <v>189</v>
      </c>
      <c r="M6" s="125" t="s">
        <v>152</v>
      </c>
      <c r="N6" s="125" t="s">
        <v>152</v>
      </c>
      <c r="O6" s="125" t="s">
        <v>152</v>
      </c>
      <c r="P6" s="125" t="s">
        <v>152</v>
      </c>
      <c r="Q6" s="125" t="s">
        <v>152</v>
      </c>
      <c r="R6" s="125" t="s">
        <v>152</v>
      </c>
      <c r="S6" s="125" t="s">
        <v>152</v>
      </c>
      <c r="T6" s="125" t="s">
        <v>152</v>
      </c>
      <c r="U6" s="125" t="s">
        <v>152</v>
      </c>
      <c r="V6" s="125" t="s">
        <v>152</v>
      </c>
    </row>
    <row r="7" spans="1:22" s="44" customFormat="1" ht="15">
      <c r="A7" s="64" t="s">
        <v>188</v>
      </c>
      <c r="B7" s="125"/>
      <c r="C7" s="125"/>
      <c r="D7" s="125"/>
      <c r="E7" s="125"/>
      <c r="F7" s="125"/>
      <c r="G7" s="125"/>
      <c r="H7" s="102"/>
      <c r="I7" s="102"/>
      <c r="J7" s="47"/>
      <c r="K7" s="44">
        <v>4</v>
      </c>
      <c r="L7" s="62">
        <v>1</v>
      </c>
      <c r="M7" s="125" t="s">
        <v>152</v>
      </c>
      <c r="N7" s="125" t="s">
        <v>152</v>
      </c>
      <c r="O7" s="125" t="s">
        <v>152</v>
      </c>
      <c r="P7" s="125" t="s">
        <v>152</v>
      </c>
      <c r="Q7" s="125" t="s">
        <v>152</v>
      </c>
      <c r="R7" s="125" t="s">
        <v>152</v>
      </c>
      <c r="S7" s="125" t="s">
        <v>152</v>
      </c>
      <c r="T7" s="125" t="s">
        <v>152</v>
      </c>
      <c r="U7" s="125" t="s">
        <v>152</v>
      </c>
      <c r="V7" s="125" t="s">
        <v>152</v>
      </c>
    </row>
    <row r="8" spans="1:22" s="44" customFormat="1" ht="15.75">
      <c r="A8" s="64"/>
      <c r="B8" s="113"/>
      <c r="C8" s="113"/>
      <c r="D8" s="113"/>
      <c r="E8" s="113"/>
      <c r="F8" s="113"/>
      <c r="G8" s="113"/>
      <c r="H8" s="113"/>
      <c r="I8" s="113"/>
      <c r="J8" s="47"/>
      <c r="L8" s="62"/>
      <c r="M8" s="125"/>
      <c r="N8" s="125"/>
      <c r="O8" s="125"/>
      <c r="T8" s="62"/>
      <c r="U8" s="62"/>
      <c r="V8" s="62"/>
    </row>
    <row r="9" spans="1:22" s="44" customFormat="1" ht="15.75">
      <c r="A9" s="100" t="s">
        <v>446</v>
      </c>
      <c r="B9" s="113"/>
      <c r="C9" s="113"/>
      <c r="D9" s="113"/>
      <c r="E9" s="113"/>
      <c r="F9" s="113"/>
      <c r="G9" s="113"/>
      <c r="H9" s="113"/>
      <c r="I9" s="113"/>
      <c r="J9" s="47"/>
      <c r="K9" s="66"/>
      <c r="L9" s="108"/>
      <c r="M9" s="108"/>
      <c r="N9" s="50"/>
      <c r="O9" s="50"/>
      <c r="T9" s="62"/>
      <c r="U9" s="62"/>
      <c r="V9" s="62"/>
    </row>
    <row r="10" spans="1:22" s="44" customFormat="1" ht="15">
      <c r="A10" s="44" t="s">
        <v>187</v>
      </c>
      <c r="B10" s="102">
        <v>107</v>
      </c>
      <c r="C10" s="102">
        <v>92</v>
      </c>
      <c r="D10" s="102">
        <v>104</v>
      </c>
      <c r="E10" s="102">
        <v>147</v>
      </c>
      <c r="F10" s="102">
        <v>155</v>
      </c>
      <c r="G10" s="102">
        <v>115</v>
      </c>
      <c r="H10" s="102">
        <v>169</v>
      </c>
      <c r="I10" s="102">
        <v>183</v>
      </c>
      <c r="J10" s="47">
        <v>182</v>
      </c>
      <c r="K10" s="44">
        <v>151</v>
      </c>
      <c r="L10" s="62">
        <v>140</v>
      </c>
      <c r="M10" s="62">
        <v>153</v>
      </c>
      <c r="N10" s="50">
        <v>139</v>
      </c>
      <c r="O10" s="125">
        <v>137</v>
      </c>
      <c r="P10" s="125">
        <v>140</v>
      </c>
      <c r="Q10" s="125">
        <v>134</v>
      </c>
      <c r="R10" s="125">
        <v>156</v>
      </c>
      <c r="S10" s="125">
        <v>154</v>
      </c>
      <c r="T10" s="125">
        <v>154</v>
      </c>
      <c r="U10" s="125">
        <v>151</v>
      </c>
      <c r="V10" s="125">
        <v>153</v>
      </c>
    </row>
    <row r="11" spans="1:22" s="44" customFormat="1" ht="15">
      <c r="A11" s="64" t="s">
        <v>188</v>
      </c>
      <c r="B11" s="102">
        <v>407</v>
      </c>
      <c r="C11" s="102">
        <v>424</v>
      </c>
      <c r="D11" s="102">
        <v>572</v>
      </c>
      <c r="E11" s="102">
        <v>593</v>
      </c>
      <c r="F11" s="102">
        <v>551</v>
      </c>
      <c r="G11" s="102">
        <v>501</v>
      </c>
      <c r="H11" s="102">
        <v>751</v>
      </c>
      <c r="I11" s="102">
        <v>769</v>
      </c>
      <c r="J11" s="47">
        <v>740</v>
      </c>
      <c r="K11" s="44">
        <v>644</v>
      </c>
      <c r="L11" s="62">
        <v>604</v>
      </c>
      <c r="M11" s="62">
        <v>651</v>
      </c>
      <c r="N11" s="50">
        <v>599</v>
      </c>
      <c r="O11" s="50">
        <v>595</v>
      </c>
      <c r="P11" s="44">
        <v>602</v>
      </c>
      <c r="Q11" s="62">
        <v>595</v>
      </c>
      <c r="R11" s="62">
        <v>646</v>
      </c>
      <c r="S11" s="62">
        <v>628</v>
      </c>
      <c r="T11" s="62">
        <v>602</v>
      </c>
      <c r="U11" s="62">
        <v>611</v>
      </c>
      <c r="V11" s="131">
        <v>631.422</v>
      </c>
    </row>
    <row r="12" spans="1:22" s="44" customFormat="1" ht="15.75">
      <c r="A12" s="64" t="s">
        <v>292</v>
      </c>
      <c r="B12" s="113"/>
      <c r="C12" s="113"/>
      <c r="D12" s="113"/>
      <c r="E12" s="113"/>
      <c r="F12" s="113"/>
      <c r="G12" s="113"/>
      <c r="H12" s="113"/>
      <c r="I12" s="113"/>
      <c r="J12" s="47"/>
      <c r="L12" s="62"/>
      <c r="M12" s="62"/>
      <c r="N12" s="62"/>
      <c r="O12" s="62"/>
      <c r="Q12" s="62"/>
      <c r="R12" s="62"/>
      <c r="S12" s="62"/>
      <c r="T12" s="62"/>
      <c r="U12" s="62"/>
      <c r="V12" s="62"/>
    </row>
    <row r="13" spans="1:22" s="44" customFormat="1" ht="18.75">
      <c r="A13" s="100" t="s">
        <v>86</v>
      </c>
      <c r="B13" s="113"/>
      <c r="C13" s="113"/>
      <c r="D13" s="113"/>
      <c r="E13" s="113"/>
      <c r="F13" s="113"/>
      <c r="G13" s="113"/>
      <c r="H13" s="113"/>
      <c r="I13" s="113"/>
      <c r="J13" s="47"/>
      <c r="K13" s="174"/>
      <c r="L13" s="175"/>
      <c r="M13" s="175"/>
      <c r="Q13" s="62"/>
      <c r="R13" s="62"/>
      <c r="S13" s="62"/>
      <c r="T13" s="62"/>
      <c r="U13" s="62"/>
      <c r="V13" s="62"/>
    </row>
    <row r="14" spans="1:22" s="44" customFormat="1" ht="15">
      <c r="A14" s="44" t="s">
        <v>187</v>
      </c>
      <c r="B14" s="125" t="s">
        <v>189</v>
      </c>
      <c r="C14" s="125" t="s">
        <v>189</v>
      </c>
      <c r="D14" s="125" t="s">
        <v>189</v>
      </c>
      <c r="E14" s="125" t="s">
        <v>189</v>
      </c>
      <c r="F14" s="125" t="s">
        <v>189</v>
      </c>
      <c r="G14" s="125" t="s">
        <v>189</v>
      </c>
      <c r="H14" s="102">
        <v>6</v>
      </c>
      <c r="I14" s="102">
        <v>6</v>
      </c>
      <c r="J14" s="47">
        <v>6</v>
      </c>
      <c r="K14" s="125" t="s">
        <v>152</v>
      </c>
      <c r="L14" s="125" t="s">
        <v>152</v>
      </c>
      <c r="M14" s="125" t="s">
        <v>152</v>
      </c>
      <c r="N14" s="125" t="s">
        <v>152</v>
      </c>
      <c r="O14" s="125" t="s">
        <v>152</v>
      </c>
      <c r="P14" s="125" t="s">
        <v>152</v>
      </c>
      <c r="Q14" s="125" t="s">
        <v>152</v>
      </c>
      <c r="R14" s="125" t="s">
        <v>152</v>
      </c>
      <c r="S14" s="125" t="s">
        <v>152</v>
      </c>
      <c r="T14" s="125" t="s">
        <v>152</v>
      </c>
      <c r="U14" s="125" t="s">
        <v>152</v>
      </c>
      <c r="V14" s="125" t="s">
        <v>152</v>
      </c>
    </row>
    <row r="15" spans="1:22" s="44" customFormat="1" ht="15">
      <c r="A15" s="64" t="s">
        <v>188</v>
      </c>
      <c r="B15" s="125" t="s">
        <v>189</v>
      </c>
      <c r="C15" s="125" t="s">
        <v>189</v>
      </c>
      <c r="D15" s="125" t="s">
        <v>189</v>
      </c>
      <c r="E15" s="125" t="s">
        <v>189</v>
      </c>
      <c r="F15" s="125" t="s">
        <v>189</v>
      </c>
      <c r="G15" s="125" t="s">
        <v>189</v>
      </c>
      <c r="H15" s="102">
        <v>27</v>
      </c>
      <c r="I15" s="102">
        <v>28</v>
      </c>
      <c r="J15" s="47">
        <v>24</v>
      </c>
      <c r="K15" s="125" t="s">
        <v>152</v>
      </c>
      <c r="L15" s="125" t="s">
        <v>152</v>
      </c>
      <c r="M15" s="125" t="s">
        <v>152</v>
      </c>
      <c r="N15" s="125" t="s">
        <v>152</v>
      </c>
      <c r="O15" s="125" t="s">
        <v>152</v>
      </c>
      <c r="P15" s="125" t="s">
        <v>152</v>
      </c>
      <c r="Q15" s="125" t="s">
        <v>152</v>
      </c>
      <c r="R15" s="125" t="s">
        <v>152</v>
      </c>
      <c r="S15" s="125" t="s">
        <v>152</v>
      </c>
      <c r="T15" s="125" t="s">
        <v>152</v>
      </c>
      <c r="U15" s="125" t="s">
        <v>152</v>
      </c>
      <c r="V15" s="125" t="s">
        <v>152</v>
      </c>
    </row>
    <row r="16" spans="1:22" s="44" customFormat="1" ht="15">
      <c r="A16" s="64"/>
      <c r="B16" s="102"/>
      <c r="C16" s="102"/>
      <c r="D16" s="102"/>
      <c r="E16" s="102"/>
      <c r="F16" s="102"/>
      <c r="G16" s="102"/>
      <c r="H16" s="102"/>
      <c r="I16" s="102"/>
      <c r="J16" s="47"/>
      <c r="L16" s="62"/>
      <c r="M16" s="62"/>
      <c r="Q16" s="62"/>
      <c r="R16" s="62"/>
      <c r="S16" s="62"/>
      <c r="T16" s="62"/>
      <c r="U16" s="62"/>
      <c r="V16" s="62"/>
    </row>
    <row r="17" spans="1:22" s="44" customFormat="1" ht="18.75">
      <c r="A17" s="100" t="s">
        <v>87</v>
      </c>
      <c r="B17" s="102"/>
      <c r="C17" s="102"/>
      <c r="D17" s="102"/>
      <c r="E17" s="102"/>
      <c r="F17" s="102"/>
      <c r="G17" s="102"/>
      <c r="H17" s="102"/>
      <c r="I17" s="102"/>
      <c r="J17" s="47"/>
      <c r="L17" s="62"/>
      <c r="M17" s="62"/>
      <c r="Q17" s="62"/>
      <c r="R17" s="62"/>
      <c r="S17" s="62"/>
      <c r="T17" s="62"/>
      <c r="U17" s="62"/>
      <c r="V17" s="62"/>
    </row>
    <row r="18" spans="1:22" s="44" customFormat="1" ht="15">
      <c r="A18" s="44" t="s">
        <v>187</v>
      </c>
      <c r="B18" s="102">
        <v>272</v>
      </c>
      <c r="C18" s="102">
        <v>329</v>
      </c>
      <c r="D18" s="102">
        <v>350</v>
      </c>
      <c r="E18" s="102">
        <v>369</v>
      </c>
      <c r="F18" s="102">
        <v>421</v>
      </c>
      <c r="G18" s="102">
        <v>391</v>
      </c>
      <c r="H18" s="102">
        <v>396</v>
      </c>
      <c r="I18" s="102">
        <v>372</v>
      </c>
      <c r="J18" s="47">
        <v>338</v>
      </c>
      <c r="K18" s="44">
        <v>270</v>
      </c>
      <c r="L18" s="62">
        <v>248</v>
      </c>
      <c r="M18" s="62">
        <v>257</v>
      </c>
      <c r="N18" s="44">
        <v>239</v>
      </c>
      <c r="O18" s="125">
        <v>275</v>
      </c>
      <c r="P18" s="125">
        <v>239</v>
      </c>
      <c r="Q18" s="125">
        <v>250</v>
      </c>
      <c r="R18" s="125">
        <v>257</v>
      </c>
      <c r="S18" s="125">
        <v>239</v>
      </c>
      <c r="T18" s="125">
        <v>244</v>
      </c>
      <c r="U18" s="125">
        <v>244</v>
      </c>
      <c r="V18" s="125">
        <v>217</v>
      </c>
    </row>
    <row r="19" spans="1:22" s="44" customFormat="1" ht="15">
      <c r="A19" s="64" t="s">
        <v>188</v>
      </c>
      <c r="B19" s="102">
        <v>1271</v>
      </c>
      <c r="C19" s="102">
        <v>1511</v>
      </c>
      <c r="D19" s="102">
        <v>1692</v>
      </c>
      <c r="E19" s="102">
        <v>1675</v>
      </c>
      <c r="F19" s="102">
        <v>1791</v>
      </c>
      <c r="G19" s="102">
        <v>1704</v>
      </c>
      <c r="H19" s="102">
        <v>1909</v>
      </c>
      <c r="I19" s="102">
        <v>1803</v>
      </c>
      <c r="J19" s="47">
        <v>1652</v>
      </c>
      <c r="K19" s="50">
        <v>1458</v>
      </c>
      <c r="L19" s="110">
        <v>1358</v>
      </c>
      <c r="M19" s="110">
        <v>1296</v>
      </c>
      <c r="N19" s="50">
        <v>1363</v>
      </c>
      <c r="O19" s="50">
        <v>1319</v>
      </c>
      <c r="P19" s="50">
        <v>1235</v>
      </c>
      <c r="Q19" s="110">
        <v>1212</v>
      </c>
      <c r="R19" s="110">
        <v>1217</v>
      </c>
      <c r="S19" s="110">
        <v>1104</v>
      </c>
      <c r="T19" s="110">
        <v>1101</v>
      </c>
      <c r="U19" s="110">
        <v>1084</v>
      </c>
      <c r="V19" s="110">
        <v>922.116</v>
      </c>
    </row>
    <row r="20" spans="1:22" s="44" customFormat="1" ht="15">
      <c r="A20" s="64"/>
      <c r="B20" s="102"/>
      <c r="C20" s="102"/>
      <c r="D20" s="102"/>
      <c r="E20" s="102"/>
      <c r="F20" s="102"/>
      <c r="G20" s="102"/>
      <c r="H20" s="102"/>
      <c r="I20" s="102"/>
      <c r="J20" s="47"/>
      <c r="K20" s="50"/>
      <c r="L20" s="110"/>
      <c r="M20" s="110"/>
      <c r="N20" s="50"/>
      <c r="O20" s="50"/>
      <c r="Q20" s="62"/>
      <c r="R20" s="62"/>
      <c r="S20" s="62"/>
      <c r="T20" s="62"/>
      <c r="U20" s="62"/>
      <c r="V20" s="62"/>
    </row>
    <row r="21" spans="1:22" s="44" customFormat="1" ht="15.75">
      <c r="A21" s="100" t="s">
        <v>450</v>
      </c>
      <c r="B21" s="102"/>
      <c r="C21" s="102"/>
      <c r="D21" s="102"/>
      <c r="E21" s="102"/>
      <c r="F21" s="102"/>
      <c r="G21" s="102"/>
      <c r="H21" s="102"/>
      <c r="I21" s="102"/>
      <c r="J21" s="47"/>
      <c r="L21" s="62"/>
      <c r="M21" s="62"/>
      <c r="Q21" s="62"/>
      <c r="R21" s="62"/>
      <c r="S21" s="62"/>
      <c r="T21" s="62"/>
      <c r="U21" s="62"/>
      <c r="V21" s="62"/>
    </row>
    <row r="22" spans="1:22" s="44" customFormat="1" ht="15">
      <c r="A22" s="44" t="s">
        <v>187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 t="s">
        <v>152</v>
      </c>
      <c r="L22" s="125" t="s">
        <v>152</v>
      </c>
      <c r="M22" s="125" t="s">
        <v>152</v>
      </c>
      <c r="N22" s="125" t="s">
        <v>152</v>
      </c>
      <c r="O22" s="125" t="s">
        <v>152</v>
      </c>
      <c r="P22" s="125" t="s">
        <v>152</v>
      </c>
      <c r="Q22" s="125" t="s">
        <v>152</v>
      </c>
      <c r="R22" s="125" t="s">
        <v>152</v>
      </c>
      <c r="S22" s="125" t="s">
        <v>152</v>
      </c>
      <c r="T22" s="125" t="s">
        <v>152</v>
      </c>
      <c r="U22" s="125" t="s">
        <v>152</v>
      </c>
      <c r="V22" s="125" t="s">
        <v>152</v>
      </c>
    </row>
    <row r="23" spans="1:22" s="44" customFormat="1" ht="15">
      <c r="A23" s="64" t="s">
        <v>188</v>
      </c>
      <c r="B23" s="125"/>
      <c r="C23" s="125"/>
      <c r="D23" s="125"/>
      <c r="E23" s="125"/>
      <c r="F23" s="125"/>
      <c r="G23" s="125"/>
      <c r="H23" s="102"/>
      <c r="I23" s="102"/>
      <c r="J23" s="47"/>
      <c r="K23" s="125" t="s">
        <v>152</v>
      </c>
      <c r="L23" s="125" t="s">
        <v>152</v>
      </c>
      <c r="M23" s="125" t="s">
        <v>152</v>
      </c>
      <c r="N23" s="125" t="s">
        <v>152</v>
      </c>
      <c r="O23" s="125" t="s">
        <v>152</v>
      </c>
      <c r="P23" s="125" t="s">
        <v>152</v>
      </c>
      <c r="Q23" s="125" t="s">
        <v>152</v>
      </c>
      <c r="R23" s="125" t="s">
        <v>152</v>
      </c>
      <c r="S23" s="125" t="s">
        <v>152</v>
      </c>
      <c r="T23" s="125" t="s">
        <v>152</v>
      </c>
      <c r="U23" s="125" t="s">
        <v>152</v>
      </c>
      <c r="V23" s="125" t="s">
        <v>152</v>
      </c>
    </row>
    <row r="24" spans="1:22" s="44" customFormat="1" ht="15">
      <c r="A24" s="64"/>
      <c r="B24" s="49"/>
      <c r="C24" s="49"/>
      <c r="D24" s="49"/>
      <c r="E24" s="49"/>
      <c r="F24" s="49"/>
      <c r="G24" s="114"/>
      <c r="H24" s="49"/>
      <c r="I24" s="114"/>
      <c r="J24" s="615"/>
      <c r="K24" s="50"/>
      <c r="L24" s="110"/>
      <c r="M24" s="110"/>
      <c r="N24" s="50"/>
      <c r="O24" s="50"/>
      <c r="Q24" s="62"/>
      <c r="R24" s="62"/>
      <c r="S24" s="62"/>
      <c r="T24" s="62"/>
      <c r="U24" s="62"/>
      <c r="V24" s="62"/>
    </row>
    <row r="25" spans="1:22" s="44" customFormat="1" ht="18.75">
      <c r="A25" s="100" t="s">
        <v>88</v>
      </c>
      <c r="B25" s="49"/>
      <c r="C25" s="49"/>
      <c r="D25" s="49"/>
      <c r="E25" s="49"/>
      <c r="F25" s="49"/>
      <c r="G25" s="114"/>
      <c r="H25" s="49"/>
      <c r="I25" s="114"/>
      <c r="J25" s="615"/>
      <c r="K25" s="47"/>
      <c r="L25" s="49"/>
      <c r="M25" s="49"/>
      <c r="N25" s="50"/>
      <c r="O25" s="50"/>
      <c r="Q25" s="62"/>
      <c r="R25" s="62"/>
      <c r="S25" s="62"/>
      <c r="T25" s="62"/>
      <c r="U25" s="62"/>
      <c r="V25" s="62"/>
    </row>
    <row r="26" spans="1:22" s="44" customFormat="1" ht="15">
      <c r="A26" s="44" t="s">
        <v>555</v>
      </c>
      <c r="B26" s="125" t="s">
        <v>189</v>
      </c>
      <c r="C26" s="125" t="s">
        <v>189</v>
      </c>
      <c r="D26" s="125" t="s">
        <v>189</v>
      </c>
      <c r="E26" s="125" t="s">
        <v>189</v>
      </c>
      <c r="F26" s="125" t="s">
        <v>189</v>
      </c>
      <c r="G26" s="125" t="s">
        <v>189</v>
      </c>
      <c r="H26" s="125" t="s">
        <v>189</v>
      </c>
      <c r="I26" s="125" t="s">
        <v>189</v>
      </c>
      <c r="J26" s="47">
        <v>44</v>
      </c>
      <c r="K26" s="44">
        <v>80</v>
      </c>
      <c r="L26" s="62">
        <v>76</v>
      </c>
      <c r="M26" s="62">
        <v>76</v>
      </c>
      <c r="N26" s="50">
        <v>87</v>
      </c>
      <c r="O26" s="125">
        <v>74</v>
      </c>
      <c r="P26" s="52" t="s">
        <v>152</v>
      </c>
      <c r="Q26" s="150" t="s">
        <v>152</v>
      </c>
      <c r="R26" s="150" t="s">
        <v>152</v>
      </c>
      <c r="S26" s="150" t="s">
        <v>152</v>
      </c>
      <c r="T26" s="150" t="s">
        <v>152</v>
      </c>
      <c r="U26" s="150" t="s">
        <v>152</v>
      </c>
      <c r="V26" s="150" t="s">
        <v>152</v>
      </c>
    </row>
    <row r="27" spans="1:22" s="44" customFormat="1" ht="15">
      <c r="A27" s="64" t="s">
        <v>188</v>
      </c>
      <c r="B27" s="125" t="s">
        <v>189</v>
      </c>
      <c r="C27" s="125" t="s">
        <v>189</v>
      </c>
      <c r="D27" s="125" t="s">
        <v>189</v>
      </c>
      <c r="E27" s="125" t="s">
        <v>189</v>
      </c>
      <c r="F27" s="125" t="s">
        <v>189</v>
      </c>
      <c r="G27" s="125" t="s">
        <v>189</v>
      </c>
      <c r="H27" s="125" t="s">
        <v>189</v>
      </c>
      <c r="I27" s="125" t="s">
        <v>189</v>
      </c>
      <c r="J27" s="47">
        <v>202</v>
      </c>
      <c r="K27" s="44">
        <v>364</v>
      </c>
      <c r="L27" s="62">
        <v>362</v>
      </c>
      <c r="M27" s="62">
        <v>332</v>
      </c>
      <c r="N27" s="50">
        <v>368</v>
      </c>
      <c r="O27" s="50">
        <v>303</v>
      </c>
      <c r="P27" s="52" t="s">
        <v>152</v>
      </c>
      <c r="Q27" s="150" t="s">
        <v>152</v>
      </c>
      <c r="R27" s="150" t="s">
        <v>152</v>
      </c>
      <c r="S27" s="150" t="s">
        <v>152</v>
      </c>
      <c r="T27" s="150" t="s">
        <v>152</v>
      </c>
      <c r="U27" s="150" t="s">
        <v>152</v>
      </c>
      <c r="V27" s="150" t="s">
        <v>152</v>
      </c>
    </row>
    <row r="28" spans="1:22" s="44" customFormat="1" ht="15">
      <c r="A28" s="64"/>
      <c r="B28" s="64"/>
      <c r="C28" s="64"/>
      <c r="D28" s="64"/>
      <c r="E28" s="64"/>
      <c r="F28" s="64"/>
      <c r="G28" s="64"/>
      <c r="H28" s="64"/>
      <c r="I28" s="64"/>
      <c r="J28" s="64"/>
      <c r="L28" s="62"/>
      <c r="M28" s="62"/>
      <c r="N28" s="50"/>
      <c r="O28" s="50"/>
      <c r="Q28" s="62"/>
      <c r="R28" s="62"/>
      <c r="S28" s="62"/>
      <c r="T28" s="62"/>
      <c r="U28" s="62"/>
      <c r="V28" s="62"/>
    </row>
    <row r="29" spans="1:22" s="44" customFormat="1" ht="15.75">
      <c r="A29" s="100" t="s">
        <v>449</v>
      </c>
      <c r="B29" s="100"/>
      <c r="C29" s="100"/>
      <c r="D29" s="100"/>
      <c r="E29" s="100"/>
      <c r="F29" s="100"/>
      <c r="G29" s="100"/>
      <c r="H29" s="100"/>
      <c r="I29" s="100"/>
      <c r="J29" s="100"/>
      <c r="K29" s="47"/>
      <c r="L29" s="49"/>
      <c r="M29" s="49"/>
      <c r="N29" s="50"/>
      <c r="O29" s="50"/>
      <c r="Q29" s="62"/>
      <c r="R29" s="62"/>
      <c r="S29" s="62"/>
      <c r="T29" s="62"/>
      <c r="U29" s="62"/>
      <c r="V29" s="62"/>
    </row>
    <row r="30" spans="1:22" s="44" customFormat="1" ht="18">
      <c r="A30" s="44" t="s">
        <v>89</v>
      </c>
      <c r="K30" s="125" t="s">
        <v>189</v>
      </c>
      <c r="L30" s="125" t="s">
        <v>189</v>
      </c>
      <c r="M30" s="62">
        <v>1</v>
      </c>
      <c r="N30" s="50">
        <v>25</v>
      </c>
      <c r="O30" s="125">
        <v>27</v>
      </c>
      <c r="P30" s="125">
        <v>56</v>
      </c>
      <c r="Q30" s="125">
        <v>56</v>
      </c>
      <c r="R30" s="125">
        <v>66</v>
      </c>
      <c r="S30" s="125">
        <v>59</v>
      </c>
      <c r="T30" s="125">
        <v>62</v>
      </c>
      <c r="U30" s="125">
        <v>62</v>
      </c>
      <c r="V30" s="125">
        <v>60</v>
      </c>
    </row>
    <row r="31" spans="1:22" s="44" customFormat="1" ht="15">
      <c r="A31" s="64" t="s">
        <v>188</v>
      </c>
      <c r="B31" s="64"/>
      <c r="C31" s="64"/>
      <c r="D31" s="64"/>
      <c r="E31" s="64"/>
      <c r="F31" s="64"/>
      <c r="G31" s="64"/>
      <c r="H31" s="64"/>
      <c r="I31" s="64"/>
      <c r="J31" s="64"/>
      <c r="K31" s="125" t="s">
        <v>189</v>
      </c>
      <c r="L31" s="125">
        <v>1</v>
      </c>
      <c r="M31" s="62">
        <v>5</v>
      </c>
      <c r="N31" s="50">
        <v>100</v>
      </c>
      <c r="O31" s="50">
        <v>120</v>
      </c>
      <c r="P31" s="44">
        <v>214</v>
      </c>
      <c r="Q31" s="62">
        <v>208</v>
      </c>
      <c r="R31" s="62">
        <v>231</v>
      </c>
      <c r="S31" s="62">
        <v>206</v>
      </c>
      <c r="T31" s="62">
        <v>213</v>
      </c>
      <c r="U31" s="62">
        <v>225</v>
      </c>
      <c r="V31" s="131">
        <v>208.099</v>
      </c>
    </row>
    <row r="32" spans="1:22" s="44" customFormat="1" ht="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102"/>
      <c r="L32" s="47"/>
      <c r="N32" s="62"/>
      <c r="O32" s="62"/>
      <c r="R32" s="62"/>
      <c r="S32" s="62"/>
      <c r="T32" s="62"/>
      <c r="U32" s="62"/>
      <c r="V32" s="62"/>
    </row>
    <row r="33" spans="1:22" s="44" customFormat="1" ht="15.75">
      <c r="A33" s="248" t="s">
        <v>141</v>
      </c>
      <c r="B33" s="248"/>
      <c r="C33" s="248"/>
      <c r="D33" s="248"/>
      <c r="E33" s="248"/>
      <c r="F33" s="248"/>
      <c r="G33" s="248"/>
      <c r="H33" s="248"/>
      <c r="I33" s="248"/>
      <c r="J33" s="248"/>
      <c r="K33" s="114"/>
      <c r="L33" s="47"/>
      <c r="N33" s="62"/>
      <c r="O33" s="62"/>
      <c r="R33" s="62"/>
      <c r="S33" s="62"/>
      <c r="T33" s="62"/>
      <c r="U33" s="62"/>
      <c r="V33" s="62"/>
    </row>
    <row r="34" spans="1:22" s="44" customFormat="1" ht="15">
      <c r="A34" s="44" t="s">
        <v>187</v>
      </c>
      <c r="B34" s="49">
        <v>380</v>
      </c>
      <c r="C34" s="49">
        <v>421</v>
      </c>
      <c r="D34" s="49">
        <v>454</v>
      </c>
      <c r="E34" s="49">
        <v>516</v>
      </c>
      <c r="F34" s="49">
        <v>576</v>
      </c>
      <c r="G34" s="49">
        <v>506</v>
      </c>
      <c r="H34" s="49">
        <v>572</v>
      </c>
      <c r="I34" s="102">
        <v>561</v>
      </c>
      <c r="J34" s="47">
        <v>570</v>
      </c>
      <c r="K34" s="217">
        <f aca="true" t="shared" si="0" ref="K34:R34">SUM(K14,K18,K22,K10,K26,K30,K6)</f>
        <v>501</v>
      </c>
      <c r="L34" s="217">
        <f t="shared" si="0"/>
        <v>464</v>
      </c>
      <c r="M34" s="217">
        <f t="shared" si="0"/>
        <v>487</v>
      </c>
      <c r="N34" s="217">
        <f t="shared" si="0"/>
        <v>490</v>
      </c>
      <c r="O34" s="217">
        <f t="shared" si="0"/>
        <v>513</v>
      </c>
      <c r="P34" s="217">
        <f t="shared" si="0"/>
        <v>435</v>
      </c>
      <c r="Q34" s="217">
        <f t="shared" si="0"/>
        <v>440</v>
      </c>
      <c r="R34" s="217">
        <f t="shared" si="0"/>
        <v>479</v>
      </c>
      <c r="S34" s="217">
        <f>SUM(S14,S18,S22,S10,S26,S30,S6)</f>
        <v>452</v>
      </c>
      <c r="T34" s="49">
        <v>460</v>
      </c>
      <c r="U34" s="217">
        <f>SUM(U14,U18,U22,U10,U26,U30,U6)</f>
        <v>457</v>
      </c>
      <c r="V34" s="217">
        <f>SUM(V14,V18,V22,V10,V26,V30,V6)</f>
        <v>430</v>
      </c>
    </row>
    <row r="35" spans="1:22" s="44" customFormat="1" ht="15">
      <c r="A35" s="257" t="s">
        <v>188</v>
      </c>
      <c r="B35" s="268">
        <v>1678</v>
      </c>
      <c r="C35" s="268">
        <v>1935</v>
      </c>
      <c r="D35" s="268">
        <v>2264</v>
      </c>
      <c r="E35" s="268">
        <v>2268</v>
      </c>
      <c r="F35" s="268">
        <v>2342</v>
      </c>
      <c r="G35" s="268">
        <v>2205</v>
      </c>
      <c r="H35" s="268">
        <v>2689</v>
      </c>
      <c r="I35" s="268">
        <v>2603</v>
      </c>
      <c r="J35" s="607">
        <v>2621</v>
      </c>
      <c r="K35" s="375">
        <f aca="true" t="shared" si="1" ref="K35:R35">SUM(K15,K19,K23,K11,K27,K31,K7)</f>
        <v>2470</v>
      </c>
      <c r="L35" s="375">
        <f t="shared" si="1"/>
        <v>2326</v>
      </c>
      <c r="M35" s="375">
        <f t="shared" si="1"/>
        <v>2284</v>
      </c>
      <c r="N35" s="375">
        <f t="shared" si="1"/>
        <v>2430</v>
      </c>
      <c r="O35" s="375">
        <f t="shared" si="1"/>
        <v>2337</v>
      </c>
      <c r="P35" s="375">
        <f t="shared" si="1"/>
        <v>2051</v>
      </c>
      <c r="Q35" s="375">
        <f t="shared" si="1"/>
        <v>2015</v>
      </c>
      <c r="R35" s="375">
        <f t="shared" si="1"/>
        <v>2094</v>
      </c>
      <c r="S35" s="268">
        <v>1937</v>
      </c>
      <c r="T35" s="268">
        <v>1915</v>
      </c>
      <c r="U35" s="375">
        <f>U11+U19+U31</f>
        <v>1920</v>
      </c>
      <c r="V35" s="375">
        <f>V11+V19+V31</f>
        <v>1761.637</v>
      </c>
    </row>
    <row r="36" spans="18:22" s="44" customFormat="1" ht="8.25" customHeight="1">
      <c r="R36" s="62"/>
      <c r="S36" s="62"/>
      <c r="T36" s="62"/>
      <c r="U36" s="62"/>
      <c r="V36" s="62"/>
    </row>
    <row r="37" spans="1:22" s="5" customFormat="1" ht="12.75">
      <c r="A37" s="5" t="s">
        <v>393</v>
      </c>
      <c r="R37" s="205"/>
      <c r="S37" s="205"/>
      <c r="T37" s="205"/>
      <c r="U37" s="205"/>
      <c r="V37" s="205"/>
    </row>
    <row r="38" spans="1:22" s="5" customFormat="1" ht="12.75">
      <c r="A38" s="5" t="s">
        <v>568</v>
      </c>
      <c r="R38" s="205"/>
      <c r="S38" s="205"/>
      <c r="T38" s="205"/>
      <c r="U38" s="205"/>
      <c r="V38" s="205"/>
    </row>
    <row r="39" spans="1:22" ht="15">
      <c r="A39" s="44"/>
      <c r="B39" s="44"/>
      <c r="C39" s="44"/>
      <c r="D39" s="44"/>
      <c r="E39" s="44"/>
      <c r="F39" s="44"/>
      <c r="G39" s="44"/>
      <c r="H39" s="44"/>
      <c r="I39" s="44"/>
      <c r="J39" s="44"/>
      <c r="R39" s="75"/>
      <c r="V39" s="75"/>
    </row>
    <row r="40" spans="1:22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R40" s="75"/>
      <c r="V40" s="75"/>
    </row>
    <row r="41" spans="18:22" ht="15">
      <c r="R41" s="75"/>
      <c r="V41" s="75"/>
    </row>
    <row r="42" spans="1:22" ht="16.5">
      <c r="A42" s="524" t="s">
        <v>749</v>
      </c>
      <c r="B42" s="524"/>
      <c r="C42" s="524"/>
      <c r="D42" s="524"/>
      <c r="E42" s="524"/>
      <c r="F42" s="524"/>
      <c r="G42" s="524"/>
      <c r="H42" s="524"/>
      <c r="I42" s="524"/>
      <c r="J42" s="524"/>
      <c r="R42" s="75"/>
      <c r="V42" s="75"/>
    </row>
    <row r="43" spans="18:22" ht="10.5" customHeight="1">
      <c r="R43" s="75"/>
      <c r="V43" s="75"/>
    </row>
    <row r="44" spans="1:22" ht="15.75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255">
        <v>2000</v>
      </c>
      <c r="L44" s="256">
        <v>2001</v>
      </c>
      <c r="M44" s="256">
        <v>2002</v>
      </c>
      <c r="N44" s="256">
        <v>2003</v>
      </c>
      <c r="O44" s="256">
        <v>2004</v>
      </c>
      <c r="P44" s="256">
        <v>2005</v>
      </c>
      <c r="Q44" s="256">
        <v>2006</v>
      </c>
      <c r="R44" s="256">
        <v>2007</v>
      </c>
      <c r="S44" s="256">
        <v>2008</v>
      </c>
      <c r="T44" s="256">
        <v>2009</v>
      </c>
      <c r="U44" s="256">
        <v>2010</v>
      </c>
      <c r="V44" s="256">
        <v>2011</v>
      </c>
    </row>
    <row r="45" spans="1:22" ht="15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100"/>
      <c r="L45" s="106"/>
      <c r="M45" s="106"/>
      <c r="N45" s="106"/>
      <c r="O45" s="106"/>
      <c r="Q45" s="75"/>
      <c r="R45" s="75"/>
      <c r="V45" s="75"/>
    </row>
    <row r="46" spans="1:22" ht="15">
      <c r="A46" s="64" t="s">
        <v>292</v>
      </c>
      <c r="B46" s="64"/>
      <c r="C46" s="64"/>
      <c r="D46" s="64"/>
      <c r="E46" s="64"/>
      <c r="F46" s="64"/>
      <c r="G46" s="64"/>
      <c r="H46" s="64"/>
      <c r="I46" s="64"/>
      <c r="J46" s="64"/>
      <c r="K46" s="44"/>
      <c r="L46" s="44"/>
      <c r="M46" s="175"/>
      <c r="N46" s="175"/>
      <c r="O46" s="75"/>
      <c r="P46" s="175"/>
      <c r="Q46" s="175"/>
      <c r="R46" s="175"/>
      <c r="S46" s="175"/>
      <c r="T46" s="175"/>
      <c r="U46" s="175"/>
      <c r="V46" s="175" t="s">
        <v>186</v>
      </c>
    </row>
    <row r="47" spans="1:22" ht="18" customHeight="1">
      <c r="A47" s="100" t="s">
        <v>90</v>
      </c>
      <c r="B47" s="100"/>
      <c r="C47" s="100"/>
      <c r="D47" s="100"/>
      <c r="E47" s="100"/>
      <c r="F47" s="100"/>
      <c r="G47" s="100"/>
      <c r="H47" s="100"/>
      <c r="I47" s="100"/>
      <c r="J47" s="100"/>
      <c r="K47" s="44"/>
      <c r="L47" s="174"/>
      <c r="M47" s="75"/>
      <c r="N47" s="75"/>
      <c r="O47" s="75"/>
      <c r="Q47" s="75"/>
      <c r="R47" s="75"/>
      <c r="V47" s="75"/>
    </row>
    <row r="48" spans="1:22" ht="15">
      <c r="A48" s="64" t="s">
        <v>188</v>
      </c>
      <c r="B48" s="64"/>
      <c r="C48" s="64"/>
      <c r="D48" s="64"/>
      <c r="E48" s="64"/>
      <c r="F48" s="64"/>
      <c r="G48" s="64"/>
      <c r="H48" s="64"/>
      <c r="I48" s="64"/>
      <c r="J48" s="64"/>
      <c r="K48" s="634">
        <v>0</v>
      </c>
      <c r="L48" s="634">
        <v>0</v>
      </c>
      <c r="M48" s="165">
        <v>105</v>
      </c>
      <c r="N48" s="165">
        <v>195</v>
      </c>
      <c r="O48" s="165">
        <v>192</v>
      </c>
      <c r="P48" s="231">
        <v>183</v>
      </c>
      <c r="Q48" s="231">
        <v>112</v>
      </c>
      <c r="R48" s="231">
        <v>110</v>
      </c>
      <c r="S48" s="510">
        <v>74</v>
      </c>
      <c r="T48" s="510">
        <v>31</v>
      </c>
      <c r="U48" s="559">
        <v>54.016</v>
      </c>
      <c r="V48" s="68" t="s">
        <v>152</v>
      </c>
    </row>
    <row r="49" spans="1:22" ht="15">
      <c r="A49" s="44" t="s">
        <v>556</v>
      </c>
      <c r="B49" s="44"/>
      <c r="C49" s="44"/>
      <c r="D49" s="44"/>
      <c r="E49" s="44"/>
      <c r="F49" s="44"/>
      <c r="G49" s="44"/>
      <c r="H49" s="44"/>
      <c r="I49" s="44"/>
      <c r="J49" s="44"/>
      <c r="K49" s="634">
        <v>0</v>
      </c>
      <c r="L49" s="634">
        <v>0</v>
      </c>
      <c r="M49" s="52">
        <v>28</v>
      </c>
      <c r="N49" s="52">
        <v>43</v>
      </c>
      <c r="O49" s="125">
        <v>44</v>
      </c>
      <c r="P49" s="125">
        <v>43</v>
      </c>
      <c r="Q49" s="125">
        <v>28</v>
      </c>
      <c r="R49" s="125">
        <v>31</v>
      </c>
      <c r="S49" s="511">
        <v>21</v>
      </c>
      <c r="T49" s="511">
        <v>9</v>
      </c>
      <c r="U49" s="559">
        <v>16.229</v>
      </c>
      <c r="V49" s="68" t="s">
        <v>152</v>
      </c>
    </row>
    <row r="50" spans="1:22" ht="15">
      <c r="A50" s="64" t="s">
        <v>557</v>
      </c>
      <c r="B50" s="64"/>
      <c r="C50" s="64"/>
      <c r="D50" s="64"/>
      <c r="E50" s="64"/>
      <c r="F50" s="64"/>
      <c r="G50" s="64"/>
      <c r="H50" s="64"/>
      <c r="I50" s="64"/>
      <c r="J50" s="64"/>
      <c r="K50" s="634">
        <v>0</v>
      </c>
      <c r="L50" s="634">
        <v>0</v>
      </c>
      <c r="M50" s="165">
        <v>8</v>
      </c>
      <c r="N50" s="166">
        <v>16</v>
      </c>
      <c r="O50" s="125">
        <v>21</v>
      </c>
      <c r="P50" s="125">
        <v>21</v>
      </c>
      <c r="Q50" s="125">
        <v>6</v>
      </c>
      <c r="R50" s="125">
        <v>6</v>
      </c>
      <c r="S50" s="511">
        <v>4</v>
      </c>
      <c r="T50" s="511">
        <v>1</v>
      </c>
      <c r="U50" s="559">
        <v>11.999</v>
      </c>
      <c r="V50" s="68">
        <v>0.5</v>
      </c>
    </row>
    <row r="51" spans="1:22" ht="15">
      <c r="A51" s="64" t="s">
        <v>558</v>
      </c>
      <c r="B51" s="64"/>
      <c r="C51" s="64"/>
      <c r="D51" s="64"/>
      <c r="E51" s="64"/>
      <c r="F51" s="64"/>
      <c r="G51" s="64"/>
      <c r="H51" s="64"/>
      <c r="I51" s="64"/>
      <c r="J51" s="64"/>
      <c r="K51" s="634">
        <v>0</v>
      </c>
      <c r="L51" s="634">
        <v>0</v>
      </c>
      <c r="M51" s="165">
        <v>6</v>
      </c>
      <c r="N51" s="166">
        <v>16</v>
      </c>
      <c r="O51" s="125">
        <v>20</v>
      </c>
      <c r="P51" s="125">
        <v>18</v>
      </c>
      <c r="Q51" s="125">
        <v>22</v>
      </c>
      <c r="R51" s="125">
        <v>8</v>
      </c>
      <c r="S51" s="511">
        <v>5</v>
      </c>
      <c r="T51" s="511">
        <v>3</v>
      </c>
      <c r="U51" s="559">
        <v>6.637</v>
      </c>
      <c r="V51" s="68">
        <v>6</v>
      </c>
    </row>
    <row r="52" spans="1:22" ht="15">
      <c r="A52" s="64" t="s">
        <v>559</v>
      </c>
      <c r="B52" s="64"/>
      <c r="C52" s="64"/>
      <c r="D52" s="64"/>
      <c r="E52" s="64"/>
      <c r="F52" s="64"/>
      <c r="G52" s="64"/>
      <c r="H52" s="64"/>
      <c r="I52" s="64"/>
      <c r="J52" s="64"/>
      <c r="K52" s="634">
        <v>0</v>
      </c>
      <c r="L52" s="634">
        <v>0</v>
      </c>
      <c r="M52" s="165">
        <v>2</v>
      </c>
      <c r="N52" s="166">
        <v>2</v>
      </c>
      <c r="O52" s="125">
        <v>3</v>
      </c>
      <c r="P52" s="125">
        <v>6</v>
      </c>
      <c r="Q52" s="125">
        <v>7</v>
      </c>
      <c r="R52" s="125">
        <v>7</v>
      </c>
      <c r="S52" s="511">
        <v>5</v>
      </c>
      <c r="T52" s="511">
        <v>7</v>
      </c>
      <c r="U52" s="559">
        <v>16.793</v>
      </c>
      <c r="V52" s="68">
        <v>14</v>
      </c>
    </row>
    <row r="53" spans="1:22" ht="18.75">
      <c r="A53" s="100" t="s">
        <v>91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70">
        <v>3.024</v>
      </c>
      <c r="L53" s="170">
        <v>3.061</v>
      </c>
      <c r="M53" s="171">
        <v>3.589</v>
      </c>
      <c r="N53" s="172">
        <v>4.726</v>
      </c>
      <c r="O53" s="172">
        <v>7</v>
      </c>
      <c r="P53" s="32">
        <v>4.963</v>
      </c>
      <c r="Q53" s="32">
        <v>4</v>
      </c>
      <c r="R53" s="634">
        <v>0</v>
      </c>
      <c r="S53" s="634">
        <v>0</v>
      </c>
      <c r="T53" s="634">
        <v>0</v>
      </c>
      <c r="U53" s="634">
        <v>0</v>
      </c>
      <c r="V53" s="634">
        <v>0</v>
      </c>
    </row>
    <row r="54" spans="1:22" ht="18.75">
      <c r="A54" s="100" t="s">
        <v>92</v>
      </c>
      <c r="B54" s="100"/>
      <c r="C54" s="100"/>
      <c r="D54" s="100"/>
      <c r="E54" s="100"/>
      <c r="F54" s="100"/>
      <c r="G54" s="100"/>
      <c r="H54" s="100"/>
      <c r="I54" s="100"/>
      <c r="J54" s="100"/>
      <c r="K54" s="634">
        <v>0</v>
      </c>
      <c r="L54" s="634">
        <v>0</v>
      </c>
      <c r="M54" s="634">
        <v>0</v>
      </c>
      <c r="N54" s="173">
        <v>1.052</v>
      </c>
      <c r="O54" s="173">
        <v>1</v>
      </c>
      <c r="P54" s="32">
        <v>0.593</v>
      </c>
      <c r="Q54" s="634">
        <v>0</v>
      </c>
      <c r="R54" s="634">
        <v>0</v>
      </c>
      <c r="S54" s="634">
        <v>0</v>
      </c>
      <c r="T54" s="634">
        <v>0</v>
      </c>
      <c r="U54" s="634">
        <v>0</v>
      </c>
      <c r="V54" s="634">
        <v>0</v>
      </c>
    </row>
    <row r="55" spans="1:22" ht="18.75">
      <c r="A55" s="100" t="s">
        <v>93</v>
      </c>
      <c r="B55" s="100"/>
      <c r="C55" s="100"/>
      <c r="D55" s="100"/>
      <c r="E55" s="100"/>
      <c r="F55" s="100"/>
      <c r="G55" s="100"/>
      <c r="H55" s="100"/>
      <c r="I55" s="100"/>
      <c r="J55" s="100"/>
      <c r="K55" s="630">
        <v>2.657</v>
      </c>
      <c r="L55" s="631">
        <v>3.044</v>
      </c>
      <c r="M55" s="632">
        <v>3.286</v>
      </c>
      <c r="N55" s="632">
        <v>6.809</v>
      </c>
      <c r="O55" s="632">
        <v>7</v>
      </c>
      <c r="P55" s="633">
        <v>5.767</v>
      </c>
      <c r="Q55" s="633">
        <v>5</v>
      </c>
      <c r="R55" s="633">
        <v>1</v>
      </c>
      <c r="S55" s="633">
        <v>1</v>
      </c>
      <c r="T55" s="634">
        <v>0</v>
      </c>
      <c r="U55" s="634">
        <v>0</v>
      </c>
      <c r="V55" s="634">
        <v>0</v>
      </c>
    </row>
    <row r="56" spans="1:22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630"/>
      <c r="L56" s="631"/>
      <c r="M56" s="632"/>
      <c r="N56" s="632"/>
      <c r="O56" s="632"/>
      <c r="P56" s="633"/>
      <c r="Q56" s="633"/>
      <c r="R56" s="633"/>
      <c r="S56" s="633"/>
      <c r="T56" s="634"/>
      <c r="U56" s="634"/>
      <c r="V56" s="634"/>
    </row>
    <row r="57" spans="1:22" ht="15.75">
      <c r="A57" s="100" t="s">
        <v>657</v>
      </c>
      <c r="B57" s="100"/>
      <c r="C57" s="100"/>
      <c r="D57" s="100"/>
      <c r="E57" s="100"/>
      <c r="F57" s="100"/>
      <c r="G57" s="100"/>
      <c r="H57" s="100"/>
      <c r="I57" s="100"/>
      <c r="J57" s="100"/>
      <c r="K57" s="630">
        <f>+K55+K54+K53+K48</f>
        <v>5.681</v>
      </c>
      <c r="L57" s="652">
        <f>+L55+L54+L53+L48</f>
        <v>6.105</v>
      </c>
      <c r="M57" s="652">
        <f>+M55+M54+M53+M48</f>
        <v>111.875</v>
      </c>
      <c r="N57" s="652">
        <f aca="true" t="shared" si="2" ref="N57:U57">N55+N54+N53+N48</f>
        <v>207.587</v>
      </c>
      <c r="O57" s="652">
        <f t="shared" si="2"/>
        <v>207</v>
      </c>
      <c r="P57" s="652">
        <f t="shared" si="2"/>
        <v>194.323</v>
      </c>
      <c r="Q57" s="652">
        <f t="shared" si="2"/>
        <v>121</v>
      </c>
      <c r="R57" s="652">
        <f t="shared" si="2"/>
        <v>111</v>
      </c>
      <c r="S57" s="652">
        <f t="shared" si="2"/>
        <v>75</v>
      </c>
      <c r="T57" s="652">
        <f t="shared" si="2"/>
        <v>31</v>
      </c>
      <c r="U57" s="652">
        <f t="shared" si="2"/>
        <v>54.016</v>
      </c>
      <c r="V57" s="652" t="s">
        <v>152</v>
      </c>
    </row>
    <row r="58" spans="1:22" ht="15.75">
      <c r="A58" s="376" t="s">
        <v>658</v>
      </c>
      <c r="B58" s="376"/>
      <c r="C58" s="376"/>
      <c r="D58" s="376"/>
      <c r="E58" s="376"/>
      <c r="F58" s="376"/>
      <c r="G58" s="376"/>
      <c r="H58" s="376"/>
      <c r="I58" s="376"/>
      <c r="J58" s="376"/>
      <c r="K58" s="377">
        <f>SUM(K49:K52)</f>
        <v>0</v>
      </c>
      <c r="L58" s="653">
        <f aca="true" t="shared" si="3" ref="L58:U58">SUM(L49:L52)</f>
        <v>0</v>
      </c>
      <c r="M58" s="653">
        <f t="shared" si="3"/>
        <v>44</v>
      </c>
      <c r="N58" s="653">
        <f t="shared" si="3"/>
        <v>77</v>
      </c>
      <c r="O58" s="653">
        <f t="shared" si="3"/>
        <v>88</v>
      </c>
      <c r="P58" s="653">
        <f t="shared" si="3"/>
        <v>88</v>
      </c>
      <c r="Q58" s="653">
        <f t="shared" si="3"/>
        <v>63</v>
      </c>
      <c r="R58" s="653">
        <f t="shared" si="3"/>
        <v>52</v>
      </c>
      <c r="S58" s="653">
        <f t="shared" si="3"/>
        <v>35</v>
      </c>
      <c r="T58" s="653">
        <f t="shared" si="3"/>
        <v>20</v>
      </c>
      <c r="U58" s="653">
        <f t="shared" si="3"/>
        <v>51.658</v>
      </c>
      <c r="V58" s="653">
        <f>SUM(V49:V52)</f>
        <v>20.5</v>
      </c>
    </row>
    <row r="59" spans="1:21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113"/>
      <c r="L59" s="113"/>
      <c r="M59" s="113"/>
      <c r="N59" s="113"/>
      <c r="O59" s="113"/>
      <c r="P59" s="113"/>
      <c r="Q59" s="47"/>
      <c r="R59" s="44"/>
      <c r="S59" s="62"/>
      <c r="T59" s="62"/>
      <c r="U59" s="62"/>
    </row>
    <row r="60" spans="1:21" s="5" customFormat="1" ht="12.75">
      <c r="A60" s="5" t="s">
        <v>588</v>
      </c>
      <c r="S60" s="205"/>
      <c r="T60" s="205"/>
      <c r="U60" s="205"/>
    </row>
    <row r="61" spans="1:21" s="5" customFormat="1" ht="12.75">
      <c r="A61" s="5" t="s">
        <v>630</v>
      </c>
      <c r="S61" s="205"/>
      <c r="T61" s="205"/>
      <c r="U61" s="205"/>
    </row>
    <row r="62" spans="1:10" ht="15">
      <c r="A62" s="56" t="s">
        <v>560</v>
      </c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5">
      <c r="A63" s="5" t="s">
        <v>631</v>
      </c>
      <c r="B63" s="5"/>
      <c r="C63" s="5"/>
      <c r="D63" s="5"/>
      <c r="E63" s="5"/>
      <c r="F63" s="5"/>
      <c r="G63" s="5"/>
      <c r="H63" s="5"/>
      <c r="I63" s="5"/>
      <c r="J63" s="5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66" r:id="rId1"/>
  <headerFooter alignWithMargins="0">
    <oddHeader>&amp;R&amp;"Arial,Bold"&amp;16WATER TRANSPORT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5.421875" style="180" customWidth="1"/>
    <col min="2" max="10" width="9.7109375" style="180" hidden="1" customWidth="1"/>
    <col min="11" max="15" width="9.7109375" style="180" customWidth="1"/>
    <col min="16" max="16" width="10.421875" style="180" customWidth="1"/>
    <col min="17" max="17" width="9.7109375" style="180" customWidth="1"/>
    <col min="18" max="19" width="10.140625" style="180" customWidth="1"/>
    <col min="20" max="20" width="11.28125" style="180" customWidth="1"/>
    <col min="21" max="21" width="10.28125" style="180" customWidth="1"/>
    <col min="22" max="16384" width="9.140625" style="180" customWidth="1"/>
  </cols>
  <sheetData>
    <row r="1" spans="1:13" s="2" customFormat="1" ht="16.5">
      <c r="A1" s="533" t="s">
        <v>746</v>
      </c>
      <c r="B1" s="533"/>
      <c r="C1" s="533"/>
      <c r="D1" s="533"/>
      <c r="E1" s="533"/>
      <c r="F1" s="533"/>
      <c r="G1" s="533"/>
      <c r="H1" s="533"/>
      <c r="I1" s="533"/>
      <c r="J1" s="37"/>
      <c r="K1" s="37"/>
      <c r="L1" s="37" t="s">
        <v>292</v>
      </c>
      <c r="M1" s="37"/>
    </row>
    <row r="2" spans="1:13" ht="11.25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21" ht="21" customHeight="1">
      <c r="A3" s="410"/>
      <c r="B3" s="412">
        <v>1992</v>
      </c>
      <c r="C3" s="412">
        <v>1993</v>
      </c>
      <c r="D3" s="412">
        <v>1994</v>
      </c>
      <c r="E3" s="412">
        <v>1995</v>
      </c>
      <c r="F3" s="412">
        <v>1996</v>
      </c>
      <c r="G3" s="412">
        <v>1997</v>
      </c>
      <c r="H3" s="412">
        <v>1998</v>
      </c>
      <c r="I3" s="412">
        <v>1999</v>
      </c>
      <c r="J3" s="412">
        <v>2000</v>
      </c>
      <c r="K3" s="412">
        <v>2001</v>
      </c>
      <c r="L3" s="413">
        <v>2002</v>
      </c>
      <c r="M3" s="413">
        <v>2003</v>
      </c>
      <c r="N3" s="413">
        <v>2004</v>
      </c>
      <c r="O3" s="413">
        <v>2005</v>
      </c>
      <c r="P3" s="413">
        <v>2006</v>
      </c>
      <c r="Q3" s="413">
        <v>2007</v>
      </c>
      <c r="R3" s="413">
        <v>2008</v>
      </c>
      <c r="S3" s="413">
        <v>2009</v>
      </c>
      <c r="T3" s="413">
        <v>2010</v>
      </c>
      <c r="U3" s="413">
        <v>2011</v>
      </c>
    </row>
    <row r="4" spans="1:21" ht="18.75">
      <c r="A4" s="378" t="s">
        <v>94</v>
      </c>
      <c r="B4" s="378"/>
      <c r="C4" s="378"/>
      <c r="D4" s="378"/>
      <c r="E4" s="378"/>
      <c r="F4" s="378"/>
      <c r="G4" s="378"/>
      <c r="H4" s="378"/>
      <c r="I4" s="378"/>
      <c r="M4" s="379"/>
      <c r="N4" s="379"/>
      <c r="O4" s="379"/>
      <c r="Q4" s="404"/>
      <c r="R4" s="404"/>
      <c r="S4" s="404"/>
      <c r="T4" s="404"/>
      <c r="U4" s="404" t="s">
        <v>191</v>
      </c>
    </row>
    <row r="5" spans="1:21" ht="15">
      <c r="A5" s="180" t="s">
        <v>192</v>
      </c>
      <c r="B5" s="26">
        <v>1296</v>
      </c>
      <c r="C5" s="26">
        <v>1296</v>
      </c>
      <c r="D5" s="26">
        <v>1304</v>
      </c>
      <c r="E5" s="26">
        <v>1322</v>
      </c>
      <c r="F5" s="26">
        <v>937</v>
      </c>
      <c r="G5" s="26">
        <v>930</v>
      </c>
      <c r="H5" s="28">
        <v>905</v>
      </c>
      <c r="I5" s="131">
        <v>894.852</v>
      </c>
      <c r="J5" s="243">
        <v>916.793</v>
      </c>
      <c r="K5" s="243">
        <v>965</v>
      </c>
      <c r="L5" s="346">
        <v>999</v>
      </c>
      <c r="M5" s="346">
        <v>1024</v>
      </c>
      <c r="N5" s="346">
        <v>1091.298</v>
      </c>
      <c r="O5" s="346">
        <v>1103</v>
      </c>
      <c r="P5" s="346">
        <v>1109</v>
      </c>
      <c r="Q5" s="346">
        <v>1150</v>
      </c>
      <c r="R5" s="346">
        <v>1113.4</v>
      </c>
      <c r="S5" s="346">
        <v>1182.1</v>
      </c>
      <c r="T5" s="346">
        <v>1140.129</v>
      </c>
      <c r="U5" s="346">
        <v>1087.895</v>
      </c>
    </row>
    <row r="6" spans="1:21" ht="15">
      <c r="A6" s="180" t="s">
        <v>391</v>
      </c>
      <c r="B6" s="26">
        <v>127</v>
      </c>
      <c r="C6" s="26">
        <v>131</v>
      </c>
      <c r="D6" s="26">
        <v>133</v>
      </c>
      <c r="E6" s="26">
        <v>128</v>
      </c>
      <c r="F6" s="26">
        <v>96</v>
      </c>
      <c r="G6" s="26">
        <v>95</v>
      </c>
      <c r="H6" s="28">
        <v>95</v>
      </c>
      <c r="I6" s="62">
        <v>96</v>
      </c>
      <c r="J6" s="243">
        <v>100</v>
      </c>
      <c r="K6" s="243">
        <v>99</v>
      </c>
      <c r="L6" s="243">
        <v>100</v>
      </c>
      <c r="M6" s="243">
        <v>97</v>
      </c>
      <c r="N6" s="243">
        <v>99.09</v>
      </c>
      <c r="O6" s="243">
        <v>104.5</v>
      </c>
      <c r="P6" s="243">
        <v>111.2</v>
      </c>
      <c r="Q6" s="243">
        <v>115</v>
      </c>
      <c r="R6" s="243">
        <v>112.9</v>
      </c>
      <c r="S6" s="243">
        <v>107.8</v>
      </c>
      <c r="T6" s="243">
        <v>115.75</v>
      </c>
      <c r="U6" s="243">
        <v>112.774</v>
      </c>
    </row>
    <row r="7" spans="1:21" ht="15">
      <c r="A7" s="180" t="s">
        <v>194</v>
      </c>
      <c r="B7" s="26">
        <v>6214</v>
      </c>
      <c r="C7" s="26">
        <v>6201</v>
      </c>
      <c r="D7" s="26">
        <v>6194</v>
      </c>
      <c r="E7" s="26">
        <v>6377</v>
      </c>
      <c r="F7" s="26">
        <v>5077</v>
      </c>
      <c r="G7" s="26">
        <v>5110</v>
      </c>
      <c r="H7" s="28">
        <v>4818</v>
      </c>
      <c r="I7" s="49">
        <v>4803.044</v>
      </c>
      <c r="J7" s="225">
        <v>4776.725</v>
      </c>
      <c r="K7" s="225">
        <v>4811</v>
      </c>
      <c r="L7" s="225">
        <v>4873.7</v>
      </c>
      <c r="M7" s="225">
        <v>5170</v>
      </c>
      <c r="N7" s="225">
        <v>5311.056</v>
      </c>
      <c r="O7" s="225">
        <v>5358</v>
      </c>
      <c r="P7" s="225">
        <v>5398</v>
      </c>
      <c r="Q7" s="225">
        <v>5389</v>
      </c>
      <c r="R7" s="225">
        <v>5084.1</v>
      </c>
      <c r="S7" s="225">
        <v>5295.8</v>
      </c>
      <c r="T7" s="225">
        <v>5235.78</v>
      </c>
      <c r="U7" s="225">
        <v>4984.268</v>
      </c>
    </row>
    <row r="8" spans="1:21" ht="15">
      <c r="A8" s="305"/>
      <c r="B8" s="33"/>
      <c r="C8" s="33"/>
      <c r="D8" s="33"/>
      <c r="E8" s="34"/>
      <c r="F8" s="25"/>
      <c r="G8" s="25"/>
      <c r="H8"/>
      <c r="I8"/>
      <c r="M8" s="380"/>
      <c r="N8" s="380"/>
      <c r="O8" s="380"/>
      <c r="Q8" s="405"/>
      <c r="R8" s="405"/>
      <c r="S8" s="405"/>
      <c r="T8" s="405"/>
      <c r="U8" s="405" t="s">
        <v>195</v>
      </c>
    </row>
    <row r="9" spans="1:21" ht="18">
      <c r="A9" s="305" t="s">
        <v>45</v>
      </c>
      <c r="B9" s="35">
        <v>3.3</v>
      </c>
      <c r="C9" s="35">
        <v>3.3</v>
      </c>
      <c r="D9" s="35">
        <v>3.1</v>
      </c>
      <c r="E9" s="35">
        <v>3</v>
      </c>
      <c r="F9" s="35">
        <v>3</v>
      </c>
      <c r="G9" s="36">
        <v>3</v>
      </c>
      <c r="H9" s="71">
        <v>3</v>
      </c>
      <c r="I9" s="71">
        <v>3</v>
      </c>
      <c r="J9" s="382">
        <v>3</v>
      </c>
      <c r="K9" s="382">
        <v>3</v>
      </c>
      <c r="L9" s="382">
        <v>3</v>
      </c>
      <c r="M9" s="382">
        <v>3</v>
      </c>
      <c r="N9" s="382">
        <v>3</v>
      </c>
      <c r="O9" s="382">
        <v>3</v>
      </c>
      <c r="P9" s="382">
        <v>3</v>
      </c>
      <c r="Q9" s="382">
        <v>3</v>
      </c>
      <c r="R9" s="382">
        <v>3</v>
      </c>
      <c r="S9" s="382">
        <v>3</v>
      </c>
      <c r="T9" s="382">
        <v>3</v>
      </c>
      <c r="U9" s="382">
        <v>3</v>
      </c>
    </row>
    <row r="10" spans="1:21" ht="15">
      <c r="A10" s="305"/>
      <c r="B10" s="27"/>
      <c r="C10" s="27"/>
      <c r="D10" s="27"/>
      <c r="E10" s="27"/>
      <c r="F10" s="27"/>
      <c r="G10" s="26"/>
      <c r="H10" s="68"/>
      <c r="I10"/>
      <c r="J10" s="383"/>
      <c r="N10" s="384"/>
      <c r="O10" s="384"/>
      <c r="P10" s="384"/>
      <c r="R10" s="384"/>
      <c r="S10" s="384"/>
      <c r="T10" s="384"/>
      <c r="U10" s="384"/>
    </row>
    <row r="11" spans="1:21" ht="15">
      <c r="A11" s="305"/>
      <c r="B11" s="33"/>
      <c r="C11" s="33"/>
      <c r="D11" s="33"/>
      <c r="E11" s="33"/>
      <c r="F11" s="25"/>
      <c r="G11" s="25"/>
      <c r="H11"/>
      <c r="I11"/>
      <c r="M11" s="380"/>
      <c r="N11" s="380"/>
      <c r="O11" s="380"/>
      <c r="Q11" s="405"/>
      <c r="R11" s="405"/>
      <c r="S11" s="405"/>
      <c r="T11" s="405"/>
      <c r="U11" s="405" t="s">
        <v>197</v>
      </c>
    </row>
    <row r="12" spans="1:21" ht="18">
      <c r="A12" s="305" t="s">
        <v>44</v>
      </c>
      <c r="B12" s="27">
        <v>26929</v>
      </c>
      <c r="C12" s="27">
        <v>28677</v>
      </c>
      <c r="D12" s="27">
        <v>30694</v>
      </c>
      <c r="E12" s="27">
        <v>34200</v>
      </c>
      <c r="F12" s="26">
        <v>34753</v>
      </c>
      <c r="G12" s="26">
        <v>36241</v>
      </c>
      <c r="H12" s="68">
        <v>36544</v>
      </c>
      <c r="I12" s="68">
        <v>37429</v>
      </c>
      <c r="J12" s="383">
        <v>38571</v>
      </c>
      <c r="K12" s="383">
        <v>39768</v>
      </c>
      <c r="L12" s="383">
        <v>43844</v>
      </c>
      <c r="M12" s="383">
        <v>45829</v>
      </c>
      <c r="N12" s="383">
        <v>49861</v>
      </c>
      <c r="O12" s="383">
        <v>51687</v>
      </c>
      <c r="P12" s="383">
        <v>55205</v>
      </c>
      <c r="Q12" s="383">
        <v>59204</v>
      </c>
      <c r="R12" s="383">
        <v>57950</v>
      </c>
      <c r="S12" s="383">
        <v>55856</v>
      </c>
      <c r="T12" s="383">
        <v>57535</v>
      </c>
      <c r="U12" s="383">
        <v>58667</v>
      </c>
    </row>
    <row r="13" spans="1:21" ht="18">
      <c r="A13" s="305" t="s">
        <v>41</v>
      </c>
      <c r="B13" s="27">
        <v>6050</v>
      </c>
      <c r="C13" s="27">
        <v>10600</v>
      </c>
      <c r="D13" s="27">
        <v>6730</v>
      </c>
      <c r="E13" s="27">
        <v>8282</v>
      </c>
      <c r="F13" s="26">
        <v>11674</v>
      </c>
      <c r="G13" s="26">
        <v>10310</v>
      </c>
      <c r="H13" s="68">
        <v>14436</v>
      </c>
      <c r="I13" s="68">
        <v>14975</v>
      </c>
      <c r="J13" s="383">
        <v>19376</v>
      </c>
      <c r="K13" s="383">
        <v>20400</v>
      </c>
      <c r="L13" s="383">
        <v>18900</v>
      </c>
      <c r="M13" s="383">
        <v>25919</v>
      </c>
      <c r="N13" s="383">
        <v>25900</v>
      </c>
      <c r="O13" s="383">
        <v>31400</v>
      </c>
      <c r="P13" s="383">
        <v>33200</v>
      </c>
      <c r="Q13" s="383">
        <v>38286</v>
      </c>
      <c r="R13" s="383">
        <v>53338</v>
      </c>
      <c r="S13" s="383">
        <v>57338</v>
      </c>
      <c r="T13" s="383">
        <v>58113</v>
      </c>
      <c r="U13" s="383">
        <v>69308</v>
      </c>
    </row>
    <row r="14" spans="1:21" ht="18">
      <c r="A14" s="305" t="s">
        <v>40</v>
      </c>
      <c r="B14" s="33"/>
      <c r="C14" s="33"/>
      <c r="D14" s="33"/>
      <c r="E14" s="33"/>
      <c r="F14" s="25"/>
      <c r="G14" s="25"/>
      <c r="H14" s="72"/>
      <c r="I14"/>
      <c r="J14" s="233" t="s">
        <v>152</v>
      </c>
      <c r="K14" s="233" t="s">
        <v>152</v>
      </c>
      <c r="L14" s="233" t="s">
        <v>152</v>
      </c>
      <c r="M14" s="233" t="s">
        <v>152</v>
      </c>
      <c r="N14" s="233" t="s">
        <v>152</v>
      </c>
      <c r="O14" s="233" t="s">
        <v>152</v>
      </c>
      <c r="P14" s="233" t="s">
        <v>152</v>
      </c>
      <c r="Q14" s="383">
        <v>2270</v>
      </c>
      <c r="R14" s="383">
        <v>3130</v>
      </c>
      <c r="S14" s="383">
        <v>3040</v>
      </c>
      <c r="T14" s="383">
        <v>3163</v>
      </c>
      <c r="U14" s="383">
        <v>1008</v>
      </c>
    </row>
    <row r="15" spans="1:21" ht="18">
      <c r="A15" s="33" t="s">
        <v>725</v>
      </c>
      <c r="B15" s="33"/>
      <c r="C15" s="33"/>
      <c r="D15" s="33"/>
      <c r="E15" s="33"/>
      <c r="F15" s="25"/>
      <c r="G15" s="25"/>
      <c r="H15" s="72"/>
      <c r="I15"/>
      <c r="J15" s="233"/>
      <c r="K15" s="233" t="s">
        <v>152</v>
      </c>
      <c r="L15" s="233" t="s">
        <v>152</v>
      </c>
      <c r="M15" s="233" t="s">
        <v>152</v>
      </c>
      <c r="N15" s="233" t="s">
        <v>152</v>
      </c>
      <c r="O15" s="233" t="s">
        <v>152</v>
      </c>
      <c r="P15" s="233" t="s">
        <v>152</v>
      </c>
      <c r="Q15" s="233" t="s">
        <v>152</v>
      </c>
      <c r="R15" s="233" t="s">
        <v>152</v>
      </c>
      <c r="S15" s="233" t="s">
        <v>152</v>
      </c>
      <c r="T15" s="233" t="s">
        <v>152</v>
      </c>
      <c r="U15" s="383">
        <v>1309</v>
      </c>
    </row>
    <row r="16" spans="1:21" ht="15.75">
      <c r="A16" s="305"/>
      <c r="B16" s="37"/>
      <c r="C16" s="37"/>
      <c r="D16" s="37"/>
      <c r="E16" s="25"/>
      <c r="F16" s="25"/>
      <c r="G16" s="25"/>
      <c r="H16"/>
      <c r="I16"/>
      <c r="J16" s="233"/>
      <c r="K16" s="233"/>
      <c r="L16" s="233"/>
      <c r="M16" s="233"/>
      <c r="N16" s="233"/>
      <c r="O16" s="233"/>
      <c r="P16" s="233"/>
      <c r="Q16" s="383"/>
      <c r="R16" s="383"/>
      <c r="S16" s="383"/>
      <c r="T16" s="383"/>
      <c r="U16" s="383"/>
    </row>
    <row r="17" spans="1:21" ht="18.75">
      <c r="A17" s="378" t="s">
        <v>95</v>
      </c>
      <c r="M17" s="380"/>
      <c r="N17" s="380"/>
      <c r="O17" s="380"/>
      <c r="Q17" s="405"/>
      <c r="R17" s="405"/>
      <c r="S17" s="405"/>
      <c r="T17" s="405"/>
      <c r="U17" s="405" t="s">
        <v>191</v>
      </c>
    </row>
    <row r="18" spans="1:21" ht="15">
      <c r="A18" s="180" t="s">
        <v>192</v>
      </c>
      <c r="B18" s="26">
        <v>48</v>
      </c>
      <c r="C18" s="26">
        <v>49</v>
      </c>
      <c r="D18" s="26">
        <v>50</v>
      </c>
      <c r="E18" s="26">
        <v>53</v>
      </c>
      <c r="F18" s="26">
        <v>58</v>
      </c>
      <c r="G18" s="26">
        <v>60</v>
      </c>
      <c r="H18" s="32">
        <v>60</v>
      </c>
      <c r="I18" s="32">
        <v>61</v>
      </c>
      <c r="J18" s="233">
        <v>62</v>
      </c>
      <c r="K18" s="233">
        <v>51</v>
      </c>
      <c r="L18" s="233">
        <v>40.1</v>
      </c>
      <c r="M18" s="233" t="s">
        <v>152</v>
      </c>
      <c r="N18" s="233" t="s">
        <v>152</v>
      </c>
      <c r="O18" s="233" t="s">
        <v>152</v>
      </c>
      <c r="P18" s="233" t="s">
        <v>152</v>
      </c>
      <c r="Q18" s="233" t="s">
        <v>152</v>
      </c>
      <c r="R18" s="233" t="s">
        <v>152</v>
      </c>
      <c r="S18" s="233" t="s">
        <v>152</v>
      </c>
      <c r="T18" s="233" t="s">
        <v>152</v>
      </c>
      <c r="U18" s="233" t="s">
        <v>152</v>
      </c>
    </row>
    <row r="19" spans="1:21" ht="15">
      <c r="A19" s="180" t="s">
        <v>193</v>
      </c>
      <c r="B19" s="26">
        <v>12.9</v>
      </c>
      <c r="C19" s="26">
        <v>12.6</v>
      </c>
      <c r="D19" s="26">
        <v>12.3</v>
      </c>
      <c r="E19" s="26">
        <v>13.8</v>
      </c>
      <c r="F19" s="26">
        <v>14.5</v>
      </c>
      <c r="G19" s="26">
        <v>15.6</v>
      </c>
      <c r="H19" s="32">
        <v>17</v>
      </c>
      <c r="I19" s="32">
        <v>17</v>
      </c>
      <c r="J19" s="233">
        <v>20</v>
      </c>
      <c r="K19" s="233">
        <v>22</v>
      </c>
      <c r="L19" s="233">
        <v>16</v>
      </c>
      <c r="M19" s="233" t="s">
        <v>152</v>
      </c>
      <c r="N19" s="233" t="s">
        <v>152</v>
      </c>
      <c r="O19" s="233" t="s">
        <v>152</v>
      </c>
      <c r="P19" s="233" t="s">
        <v>152</v>
      </c>
      <c r="Q19" s="233" t="s">
        <v>152</v>
      </c>
      <c r="R19" s="233" t="s">
        <v>152</v>
      </c>
      <c r="S19" s="233" t="s">
        <v>152</v>
      </c>
      <c r="T19" s="233" t="s">
        <v>152</v>
      </c>
      <c r="U19" s="233" t="s">
        <v>152</v>
      </c>
    </row>
    <row r="20" spans="1:21" ht="15">
      <c r="A20" s="180" t="s">
        <v>194</v>
      </c>
      <c r="B20" s="27">
        <v>225.8</v>
      </c>
      <c r="C20" s="27">
        <v>213.9</v>
      </c>
      <c r="D20" s="27">
        <v>214</v>
      </c>
      <c r="E20" s="26">
        <v>220</v>
      </c>
      <c r="F20" s="26">
        <v>236</v>
      </c>
      <c r="G20" s="76">
        <v>245</v>
      </c>
      <c r="H20" s="68">
        <v>239</v>
      </c>
      <c r="I20" s="32">
        <v>242</v>
      </c>
      <c r="J20" s="233">
        <v>239</v>
      </c>
      <c r="K20" s="233">
        <v>208</v>
      </c>
      <c r="L20" s="233">
        <v>165.5</v>
      </c>
      <c r="M20" s="233" t="s">
        <v>152</v>
      </c>
      <c r="N20" s="233" t="s">
        <v>152</v>
      </c>
      <c r="O20" s="233" t="s">
        <v>152</v>
      </c>
      <c r="P20" s="233" t="s">
        <v>152</v>
      </c>
      <c r="Q20" s="233" t="s">
        <v>152</v>
      </c>
      <c r="R20" s="233" t="s">
        <v>152</v>
      </c>
      <c r="S20" s="233" t="s">
        <v>152</v>
      </c>
      <c r="T20" s="233" t="s">
        <v>152</v>
      </c>
      <c r="U20" s="233" t="s">
        <v>152</v>
      </c>
    </row>
    <row r="21" spans="1:21" ht="15">
      <c r="A21" s="305"/>
      <c r="B21" s="33"/>
      <c r="C21" s="33"/>
      <c r="D21" s="33"/>
      <c r="E21" s="34"/>
      <c r="F21" s="25"/>
      <c r="G21" s="25"/>
      <c r="H21"/>
      <c r="I21"/>
      <c r="M21" s="380"/>
      <c r="N21" s="380"/>
      <c r="O21" s="380"/>
      <c r="Q21" s="405"/>
      <c r="R21" s="405"/>
      <c r="S21" s="405"/>
      <c r="T21" s="405"/>
      <c r="U21" s="405" t="s">
        <v>195</v>
      </c>
    </row>
    <row r="22" spans="1:21" ht="18">
      <c r="A22" s="305" t="s">
        <v>196</v>
      </c>
      <c r="B22" s="38">
        <v>32.9</v>
      </c>
      <c r="C22" s="38">
        <v>40.9</v>
      </c>
      <c r="D22" s="38">
        <v>43</v>
      </c>
      <c r="E22" s="38">
        <v>52</v>
      </c>
      <c r="F22" s="35">
        <v>62</v>
      </c>
      <c r="G22" s="36">
        <v>60</v>
      </c>
      <c r="H22" s="73">
        <v>52</v>
      </c>
      <c r="I22" s="89" t="s">
        <v>189</v>
      </c>
      <c r="J22" s="387">
        <v>47.3</v>
      </c>
      <c r="K22" s="387">
        <v>49.9</v>
      </c>
      <c r="L22" s="388" t="s">
        <v>96</v>
      </c>
      <c r="M22" s="233" t="s">
        <v>152</v>
      </c>
      <c r="N22" s="233" t="s">
        <v>152</v>
      </c>
      <c r="O22" s="233" t="s">
        <v>152</v>
      </c>
      <c r="P22" s="233" t="s">
        <v>152</v>
      </c>
      <c r="Q22" s="233" t="s">
        <v>152</v>
      </c>
      <c r="R22" s="233" t="s">
        <v>152</v>
      </c>
      <c r="S22" s="233" t="s">
        <v>152</v>
      </c>
      <c r="T22" s="233" t="s">
        <v>152</v>
      </c>
      <c r="U22" s="233" t="s">
        <v>152</v>
      </c>
    </row>
    <row r="23" spans="1:16" ht="15">
      <c r="A23" s="305"/>
      <c r="B23" s="27"/>
      <c r="C23" s="27"/>
      <c r="D23" s="27"/>
      <c r="E23" s="27"/>
      <c r="F23" s="27"/>
      <c r="G23" s="26"/>
      <c r="H23" s="68"/>
      <c r="I23"/>
      <c r="J23" s="383"/>
      <c r="M23" s="383"/>
      <c r="N23" s="383"/>
      <c r="O23" s="383"/>
      <c r="P23" s="383"/>
    </row>
    <row r="24" spans="1:21" ht="15">
      <c r="A24" s="305"/>
      <c r="B24" s="33"/>
      <c r="C24" s="33"/>
      <c r="D24" s="33"/>
      <c r="E24" s="33"/>
      <c r="F24" s="25"/>
      <c r="G24" s="25"/>
      <c r="H24"/>
      <c r="I24"/>
      <c r="M24" s="380"/>
      <c r="N24" s="380"/>
      <c r="O24" s="380"/>
      <c r="Q24" s="405"/>
      <c r="R24" s="405"/>
      <c r="S24" s="405"/>
      <c r="T24" s="405"/>
      <c r="U24" s="405" t="s">
        <v>197</v>
      </c>
    </row>
    <row r="25" spans="1:21" ht="18">
      <c r="A25" s="305" t="s">
        <v>46</v>
      </c>
      <c r="B25" s="27">
        <v>17746</v>
      </c>
      <c r="C25" s="27">
        <v>16978</v>
      </c>
      <c r="D25" s="27">
        <v>16173</v>
      </c>
      <c r="E25" s="27">
        <v>14951</v>
      </c>
      <c r="F25" s="26">
        <v>15800</v>
      </c>
      <c r="G25" s="26">
        <v>14484</v>
      </c>
      <c r="H25" s="68">
        <v>15010</v>
      </c>
      <c r="I25" s="616">
        <v>15688</v>
      </c>
      <c r="J25" s="383">
        <v>15284</v>
      </c>
      <c r="K25" s="383">
        <v>16662</v>
      </c>
      <c r="L25" s="383">
        <v>12195</v>
      </c>
      <c r="M25" s="233" t="s">
        <v>152</v>
      </c>
      <c r="N25" s="233" t="s">
        <v>152</v>
      </c>
      <c r="O25" s="233" t="s">
        <v>152</v>
      </c>
      <c r="P25" s="233" t="s">
        <v>152</v>
      </c>
      <c r="Q25" s="233" t="s">
        <v>152</v>
      </c>
      <c r="R25" s="233" t="s">
        <v>152</v>
      </c>
      <c r="S25" s="233" t="s">
        <v>152</v>
      </c>
      <c r="T25" s="233" t="s">
        <v>152</v>
      </c>
      <c r="U25" s="233" t="s">
        <v>152</v>
      </c>
    </row>
    <row r="26" spans="1:21" ht="18">
      <c r="A26" s="305" t="s">
        <v>47</v>
      </c>
      <c r="B26" s="27">
        <v>4284</v>
      </c>
      <c r="C26" s="27">
        <v>6027</v>
      </c>
      <c r="D26" s="27">
        <v>6519</v>
      </c>
      <c r="E26" s="27">
        <v>8100</v>
      </c>
      <c r="F26" s="26">
        <v>8100</v>
      </c>
      <c r="G26" s="26">
        <v>9412</v>
      </c>
      <c r="H26" s="68">
        <v>14260</v>
      </c>
      <c r="I26" s="31">
        <v>11400</v>
      </c>
      <c r="J26" s="383">
        <v>11500</v>
      </c>
      <c r="K26" s="383">
        <v>11600</v>
      </c>
      <c r="L26" s="383">
        <v>11206</v>
      </c>
      <c r="M26" s="233" t="s">
        <v>152</v>
      </c>
      <c r="N26" s="233" t="s">
        <v>152</v>
      </c>
      <c r="O26" s="233" t="s">
        <v>152</v>
      </c>
      <c r="P26" s="233" t="s">
        <v>152</v>
      </c>
      <c r="Q26" s="233" t="s">
        <v>152</v>
      </c>
      <c r="R26" s="233" t="s">
        <v>152</v>
      </c>
      <c r="S26" s="233" t="s">
        <v>152</v>
      </c>
      <c r="T26" s="233" t="s">
        <v>152</v>
      </c>
      <c r="U26" s="233" t="s">
        <v>152</v>
      </c>
    </row>
    <row r="27" spans="1:16" ht="15">
      <c r="A27" s="305"/>
      <c r="B27" s="27"/>
      <c r="C27" s="27"/>
      <c r="D27" s="27"/>
      <c r="E27" s="27"/>
      <c r="F27" s="27"/>
      <c r="G27" s="26"/>
      <c r="H27" s="68"/>
      <c r="I27" s="68"/>
      <c r="J27" s="383"/>
      <c r="K27" s="312"/>
      <c r="L27" s="383"/>
      <c r="M27" s="383"/>
      <c r="N27" s="383"/>
      <c r="O27" s="383"/>
      <c r="P27" s="383"/>
    </row>
    <row r="28" spans="1:21" ht="18.75">
      <c r="A28" s="378" t="s">
        <v>97</v>
      </c>
      <c r="J28" s="383"/>
      <c r="K28" s="383"/>
      <c r="L28" s="224"/>
      <c r="M28" s="224"/>
      <c r="N28" s="380"/>
      <c r="O28" s="380"/>
      <c r="Q28" s="405"/>
      <c r="R28" s="405"/>
      <c r="S28" s="405"/>
      <c r="T28" s="405"/>
      <c r="U28" s="405" t="s">
        <v>191</v>
      </c>
    </row>
    <row r="29" spans="1:21" ht="15">
      <c r="A29" s="180" t="s">
        <v>192</v>
      </c>
      <c r="B29" s="76" t="s">
        <v>152</v>
      </c>
      <c r="C29" s="76" t="s">
        <v>152</v>
      </c>
      <c r="D29" s="76" t="s">
        <v>152</v>
      </c>
      <c r="E29" s="76" t="s">
        <v>152</v>
      </c>
      <c r="F29" s="76" t="s">
        <v>152</v>
      </c>
      <c r="G29" s="76" t="s">
        <v>152</v>
      </c>
      <c r="H29" s="76" t="s">
        <v>152</v>
      </c>
      <c r="I29" s="76" t="s">
        <v>152</v>
      </c>
      <c r="J29" s="311" t="s">
        <v>152</v>
      </c>
      <c r="K29" s="311" t="s">
        <v>152</v>
      </c>
      <c r="L29" s="311" t="s">
        <v>152</v>
      </c>
      <c r="M29" s="236">
        <v>58.907</v>
      </c>
      <c r="N29" s="236">
        <v>64.479</v>
      </c>
      <c r="O29" s="236">
        <v>67</v>
      </c>
      <c r="P29" s="236">
        <v>69</v>
      </c>
      <c r="Q29" s="236">
        <v>70</v>
      </c>
      <c r="R29" s="236">
        <v>68</v>
      </c>
      <c r="S29" s="236">
        <v>68</v>
      </c>
      <c r="T29" s="236">
        <v>64</v>
      </c>
      <c r="U29" s="236">
        <v>63</v>
      </c>
    </row>
    <row r="30" spans="1:21" ht="18">
      <c r="A30" s="180" t="s">
        <v>98</v>
      </c>
      <c r="B30" s="76" t="s">
        <v>152</v>
      </c>
      <c r="C30" s="76" t="s">
        <v>152</v>
      </c>
      <c r="D30" s="76" t="s">
        <v>152</v>
      </c>
      <c r="E30" s="76" t="s">
        <v>152</v>
      </c>
      <c r="F30" s="76" t="s">
        <v>152</v>
      </c>
      <c r="G30" s="76" t="s">
        <v>152</v>
      </c>
      <c r="H30" s="76" t="s">
        <v>152</v>
      </c>
      <c r="I30" s="76" t="s">
        <v>152</v>
      </c>
      <c r="J30" s="311" t="s">
        <v>152</v>
      </c>
      <c r="K30" s="311" t="s">
        <v>152</v>
      </c>
      <c r="L30" s="311" t="s">
        <v>152</v>
      </c>
      <c r="M30" s="389">
        <v>0.508</v>
      </c>
      <c r="N30" s="389">
        <v>0.537</v>
      </c>
      <c r="O30" s="236">
        <v>0.5</v>
      </c>
      <c r="P30" s="389" t="s">
        <v>189</v>
      </c>
      <c r="Q30" s="389" t="s">
        <v>189</v>
      </c>
      <c r="R30" s="389" t="s">
        <v>189</v>
      </c>
      <c r="S30" s="389" t="s">
        <v>189</v>
      </c>
      <c r="T30" s="389" t="s">
        <v>189</v>
      </c>
      <c r="U30" s="389" t="s">
        <v>189</v>
      </c>
    </row>
    <row r="31" spans="1:21" ht="15">
      <c r="A31" s="180" t="s">
        <v>194</v>
      </c>
      <c r="B31" s="76" t="s">
        <v>152</v>
      </c>
      <c r="C31" s="76" t="s">
        <v>152</v>
      </c>
      <c r="D31" s="76" t="s">
        <v>152</v>
      </c>
      <c r="E31" s="76" t="s">
        <v>152</v>
      </c>
      <c r="F31" s="76" t="s">
        <v>152</v>
      </c>
      <c r="G31" s="76" t="s">
        <v>152</v>
      </c>
      <c r="H31" s="76" t="s">
        <v>152</v>
      </c>
      <c r="I31" s="76" t="s">
        <v>152</v>
      </c>
      <c r="J31" s="311" t="s">
        <v>152</v>
      </c>
      <c r="K31" s="311" t="s">
        <v>152</v>
      </c>
      <c r="L31" s="311" t="s">
        <v>152</v>
      </c>
      <c r="M31" s="236">
        <v>240.606</v>
      </c>
      <c r="N31" s="236">
        <v>288.711</v>
      </c>
      <c r="O31" s="236">
        <v>300.9</v>
      </c>
      <c r="P31" s="236">
        <v>304</v>
      </c>
      <c r="Q31" s="236">
        <v>307</v>
      </c>
      <c r="R31" s="236">
        <v>296</v>
      </c>
      <c r="S31" s="236">
        <v>309</v>
      </c>
      <c r="T31" s="236">
        <v>305</v>
      </c>
      <c r="U31" s="236">
        <v>304</v>
      </c>
    </row>
    <row r="32" spans="2:21" ht="15">
      <c r="B32" s="76"/>
      <c r="C32" s="76"/>
      <c r="D32" s="76"/>
      <c r="E32" s="76"/>
      <c r="F32" s="76"/>
      <c r="G32" s="76"/>
      <c r="H32" s="76"/>
      <c r="I32" s="76"/>
      <c r="J32" s="311"/>
      <c r="K32" s="311"/>
      <c r="L32" s="311"/>
      <c r="M32" s="311"/>
      <c r="S32" s="384"/>
      <c r="T32" s="384"/>
      <c r="U32" s="384"/>
    </row>
    <row r="33" spans="1:21" ht="15">
      <c r="A33" s="305"/>
      <c r="B33" s="76"/>
      <c r="C33" s="76"/>
      <c r="D33" s="76"/>
      <c r="E33" s="76"/>
      <c r="F33" s="76"/>
      <c r="G33" s="76"/>
      <c r="H33" s="76"/>
      <c r="I33" s="76"/>
      <c r="J33" s="311"/>
      <c r="K33" s="311"/>
      <c r="L33" s="311"/>
      <c r="M33" s="311"/>
      <c r="N33" s="380"/>
      <c r="O33" s="380"/>
      <c r="Q33" s="405"/>
      <c r="R33" s="405"/>
      <c r="S33" s="405"/>
      <c r="T33" s="405"/>
      <c r="U33" s="405" t="s">
        <v>197</v>
      </c>
    </row>
    <row r="34" spans="1:21" ht="18">
      <c r="A34" s="305" t="s">
        <v>99</v>
      </c>
      <c r="B34" s="76" t="s">
        <v>152</v>
      </c>
      <c r="C34" s="76" t="s">
        <v>152</v>
      </c>
      <c r="D34" s="76" t="s">
        <v>152</v>
      </c>
      <c r="E34" s="76" t="s">
        <v>152</v>
      </c>
      <c r="F34" s="76" t="s">
        <v>152</v>
      </c>
      <c r="G34" s="76" t="s">
        <v>152</v>
      </c>
      <c r="H34" s="76" t="s">
        <v>152</v>
      </c>
      <c r="I34" s="76" t="s">
        <v>152</v>
      </c>
      <c r="J34" s="311" t="s">
        <v>152</v>
      </c>
      <c r="K34" s="311" t="s">
        <v>152</v>
      </c>
      <c r="L34" s="311" t="s">
        <v>152</v>
      </c>
      <c r="M34" s="233" t="s">
        <v>189</v>
      </c>
      <c r="N34" s="233" t="s">
        <v>189</v>
      </c>
      <c r="O34" s="233">
        <v>20064</v>
      </c>
      <c r="P34" s="233">
        <v>21260</v>
      </c>
      <c r="Q34" s="233">
        <v>20914</v>
      </c>
      <c r="R34" s="233">
        <v>22171</v>
      </c>
      <c r="S34" s="233">
        <v>21694</v>
      </c>
      <c r="T34" s="233">
        <v>25011</v>
      </c>
      <c r="U34" s="233">
        <v>25718</v>
      </c>
    </row>
    <row r="35" spans="1:21" ht="18">
      <c r="A35" s="305" t="s">
        <v>100</v>
      </c>
      <c r="B35" s="76"/>
      <c r="C35" s="76"/>
      <c r="D35" s="76"/>
      <c r="E35" s="76"/>
      <c r="F35" s="76"/>
      <c r="G35" s="76"/>
      <c r="H35" s="76"/>
      <c r="I35" s="76"/>
      <c r="J35" s="311" t="s">
        <v>152</v>
      </c>
      <c r="K35" s="311" t="s">
        <v>152</v>
      </c>
      <c r="L35" s="311" t="s">
        <v>152</v>
      </c>
      <c r="M35" s="230">
        <v>18524</v>
      </c>
      <c r="N35" s="233">
        <v>28121</v>
      </c>
      <c r="O35" s="233">
        <v>22450</v>
      </c>
      <c r="P35" s="233">
        <v>29177</v>
      </c>
      <c r="Q35" s="233">
        <v>30173</v>
      </c>
      <c r="R35" s="233">
        <v>29207</v>
      </c>
      <c r="S35" s="233">
        <v>34444</v>
      </c>
      <c r="T35" s="233">
        <v>36064</v>
      </c>
      <c r="U35" s="233">
        <v>37172</v>
      </c>
    </row>
    <row r="36" spans="1:16" ht="15">
      <c r="A36" s="305"/>
      <c r="B36" s="76"/>
      <c r="C36" s="76"/>
      <c r="D36" s="76"/>
      <c r="E36" s="76"/>
      <c r="F36" s="76"/>
      <c r="G36" s="76"/>
      <c r="H36" s="76"/>
      <c r="I36" s="76"/>
      <c r="J36" s="311"/>
      <c r="K36" s="311"/>
      <c r="L36" s="311"/>
      <c r="M36" s="311"/>
      <c r="N36" s="230"/>
      <c r="O36" s="230"/>
      <c r="P36" s="230"/>
    </row>
    <row r="37" spans="1:21" ht="15.75">
      <c r="A37" s="378" t="s">
        <v>203</v>
      </c>
      <c r="B37" s="76"/>
      <c r="C37" s="76"/>
      <c r="D37" s="76"/>
      <c r="E37" s="76"/>
      <c r="F37" s="76"/>
      <c r="G37" s="76"/>
      <c r="H37" s="76"/>
      <c r="I37" s="76"/>
      <c r="M37" s="380"/>
      <c r="N37" s="380"/>
      <c r="O37" s="380"/>
      <c r="Q37" s="405"/>
      <c r="R37" s="405"/>
      <c r="S37" s="405"/>
      <c r="T37" s="405"/>
      <c r="U37" s="405" t="s">
        <v>191</v>
      </c>
    </row>
    <row r="38" spans="1:21" ht="15">
      <c r="A38" s="180" t="s">
        <v>204</v>
      </c>
      <c r="B38" s="26">
        <v>42.2</v>
      </c>
      <c r="C38" s="26">
        <v>53.9</v>
      </c>
      <c r="D38" s="26">
        <v>62.2</v>
      </c>
      <c r="E38" s="26">
        <v>65.2</v>
      </c>
      <c r="F38" s="26">
        <v>67</v>
      </c>
      <c r="G38" s="26">
        <v>68.6</v>
      </c>
      <c r="H38" s="32">
        <v>71</v>
      </c>
      <c r="I38" s="25">
        <v>73</v>
      </c>
      <c r="J38" s="180">
        <v>72</v>
      </c>
      <c r="K38" s="180">
        <v>74</v>
      </c>
      <c r="L38" s="384">
        <v>75</v>
      </c>
      <c r="M38" s="384">
        <v>80</v>
      </c>
      <c r="N38" s="236">
        <v>82.6</v>
      </c>
      <c r="O38" s="384">
        <v>83</v>
      </c>
      <c r="P38" s="233">
        <v>83</v>
      </c>
      <c r="Q38" s="233">
        <v>81</v>
      </c>
      <c r="R38" s="233">
        <v>83</v>
      </c>
      <c r="S38" s="233">
        <v>87</v>
      </c>
      <c r="T38" s="233">
        <v>87.8</v>
      </c>
      <c r="U38" s="180">
        <v>87</v>
      </c>
    </row>
    <row r="39" spans="1:21" ht="15">
      <c r="A39" s="180" t="s">
        <v>194</v>
      </c>
      <c r="B39" s="26">
        <v>186.9</v>
      </c>
      <c r="C39" s="26">
        <v>218.3</v>
      </c>
      <c r="D39" s="26">
        <v>240.6</v>
      </c>
      <c r="E39" s="26">
        <v>258.1</v>
      </c>
      <c r="F39" s="26">
        <v>275.6</v>
      </c>
      <c r="G39" s="26">
        <v>279.3</v>
      </c>
      <c r="H39" s="32">
        <v>274</v>
      </c>
      <c r="I39" s="25">
        <v>282</v>
      </c>
      <c r="J39" s="180">
        <v>278</v>
      </c>
      <c r="K39" s="180">
        <v>285</v>
      </c>
      <c r="L39" s="384">
        <v>291</v>
      </c>
      <c r="M39" s="384">
        <v>310</v>
      </c>
      <c r="N39" s="236">
        <v>321.7</v>
      </c>
      <c r="O39" s="384">
        <v>312</v>
      </c>
      <c r="P39" s="233">
        <v>318</v>
      </c>
      <c r="Q39" s="233">
        <v>316</v>
      </c>
      <c r="R39" s="233">
        <v>319</v>
      </c>
      <c r="S39" s="233">
        <v>330</v>
      </c>
      <c r="T39" s="233">
        <v>331</v>
      </c>
      <c r="U39" s="180">
        <v>338</v>
      </c>
    </row>
    <row r="40" ht="15">
      <c r="J40" s="227"/>
    </row>
    <row r="41" spans="1:21" ht="15">
      <c r="A41" s="305"/>
      <c r="M41" s="380"/>
      <c r="N41" s="380"/>
      <c r="O41" s="380"/>
      <c r="Q41" s="405"/>
      <c r="R41" s="405"/>
      <c r="S41" s="405"/>
      <c r="T41" s="405"/>
      <c r="U41" s="405" t="s">
        <v>195</v>
      </c>
    </row>
    <row r="42" spans="1:21" ht="15">
      <c r="A42" s="305" t="s">
        <v>196</v>
      </c>
      <c r="B42" s="38">
        <v>5.3</v>
      </c>
      <c r="C42" s="38">
        <v>2.1</v>
      </c>
      <c r="D42" s="38">
        <v>1.5</v>
      </c>
      <c r="E42" s="38">
        <v>1.5</v>
      </c>
      <c r="F42" s="38">
        <v>1.4</v>
      </c>
      <c r="G42" s="41">
        <v>1.2</v>
      </c>
      <c r="H42" s="73">
        <v>2</v>
      </c>
      <c r="I42" s="73">
        <v>2</v>
      </c>
      <c r="J42" s="180">
        <v>1.7</v>
      </c>
      <c r="K42" s="180">
        <v>1.9</v>
      </c>
      <c r="L42" s="384">
        <v>1.5</v>
      </c>
      <c r="M42" s="384">
        <v>1.4</v>
      </c>
      <c r="N42" s="384">
        <v>1.5</v>
      </c>
      <c r="O42" s="384">
        <v>2.1</v>
      </c>
      <c r="P42" s="384">
        <v>2.1</v>
      </c>
      <c r="Q42" s="391">
        <v>2</v>
      </c>
      <c r="R42" s="391">
        <v>2</v>
      </c>
      <c r="S42" s="391">
        <v>2.7</v>
      </c>
      <c r="T42" s="391">
        <v>2.34</v>
      </c>
      <c r="U42" s="180">
        <v>1.8</v>
      </c>
    </row>
    <row r="43" spans="1:21" ht="15">
      <c r="A43" s="305"/>
      <c r="B43" s="33"/>
      <c r="C43" s="33"/>
      <c r="D43" s="33"/>
      <c r="E43" s="33"/>
      <c r="F43" s="33"/>
      <c r="G43" s="25"/>
      <c r="H43" s="72"/>
      <c r="I43"/>
      <c r="J43" s="385"/>
      <c r="N43" s="384"/>
      <c r="O43" s="384"/>
      <c r="P43" s="384"/>
      <c r="S43" s="384"/>
      <c r="T43" s="384"/>
      <c r="U43" s="384"/>
    </row>
    <row r="44" spans="1:21" ht="15">
      <c r="A44" s="305"/>
      <c r="B44" s="33"/>
      <c r="C44" s="33"/>
      <c r="D44" s="33"/>
      <c r="E44" s="33"/>
      <c r="F44" s="25"/>
      <c r="G44" s="25"/>
      <c r="H44"/>
      <c r="I44"/>
      <c r="M44" s="380"/>
      <c r="N44" s="380"/>
      <c r="O44" s="380"/>
      <c r="Q44" s="405"/>
      <c r="R44" s="405"/>
      <c r="S44" s="405"/>
      <c r="T44" s="405"/>
      <c r="U44" s="405" t="s">
        <v>197</v>
      </c>
    </row>
    <row r="45" spans="1:21" ht="18">
      <c r="A45" s="305" t="s">
        <v>57</v>
      </c>
      <c r="B45" s="27">
        <v>1039</v>
      </c>
      <c r="C45" s="27">
        <v>959</v>
      </c>
      <c r="D45" s="27">
        <v>1045</v>
      </c>
      <c r="E45" s="27">
        <v>1116</v>
      </c>
      <c r="F45" s="27">
        <v>1163</v>
      </c>
      <c r="G45" s="26">
        <v>1227</v>
      </c>
      <c r="H45" s="68">
        <v>1321</v>
      </c>
      <c r="I45" s="68">
        <v>1412</v>
      </c>
      <c r="J45" s="224">
        <v>1470</v>
      </c>
      <c r="K45" s="224">
        <v>1585</v>
      </c>
      <c r="L45" s="230">
        <v>1659</v>
      </c>
      <c r="M45" s="230">
        <v>1671</v>
      </c>
      <c r="N45" s="230">
        <v>1835</v>
      </c>
      <c r="O45" s="230">
        <v>1859</v>
      </c>
      <c r="P45" s="230">
        <v>1939</v>
      </c>
      <c r="Q45" s="230">
        <v>2053</v>
      </c>
      <c r="R45" s="230">
        <v>2263</v>
      </c>
      <c r="S45" s="230">
        <v>2280</v>
      </c>
      <c r="T45" s="230">
        <v>2429</v>
      </c>
      <c r="U45" s="230">
        <v>2550</v>
      </c>
    </row>
    <row r="46" spans="1:21" ht="18">
      <c r="A46" s="305" t="s">
        <v>59</v>
      </c>
      <c r="B46" s="27">
        <v>2982</v>
      </c>
      <c r="C46" s="27">
        <v>2992</v>
      </c>
      <c r="D46" s="27">
        <v>3139</v>
      </c>
      <c r="E46" s="27">
        <v>3353</v>
      </c>
      <c r="F46" s="27">
        <v>3563</v>
      </c>
      <c r="G46" s="26">
        <v>3647</v>
      </c>
      <c r="H46" s="68">
        <v>3935</v>
      </c>
      <c r="I46" s="68">
        <v>3439</v>
      </c>
      <c r="J46" s="224">
        <v>3697</v>
      </c>
      <c r="K46" s="224">
        <v>3858</v>
      </c>
      <c r="L46" s="230">
        <v>3903</v>
      </c>
      <c r="M46" s="230">
        <v>4560</v>
      </c>
      <c r="N46" s="230">
        <v>4940</v>
      </c>
      <c r="O46" s="230">
        <v>5554</v>
      </c>
      <c r="P46" s="230">
        <v>6257</v>
      </c>
      <c r="Q46" s="230">
        <v>6207</v>
      </c>
      <c r="R46" s="230">
        <v>6918</v>
      </c>
      <c r="S46" s="230">
        <v>7535</v>
      </c>
      <c r="T46" s="230">
        <v>6280</v>
      </c>
      <c r="U46" s="230">
        <v>6847</v>
      </c>
    </row>
    <row r="47" spans="1:16" ht="15">
      <c r="A47" s="305"/>
      <c r="B47" s="27"/>
      <c r="C47" s="27"/>
      <c r="D47" s="27"/>
      <c r="E47" s="27"/>
      <c r="F47" s="27"/>
      <c r="G47" s="26"/>
      <c r="H47" s="68"/>
      <c r="I47" s="68"/>
      <c r="J47" s="383"/>
      <c r="K47" s="383"/>
      <c r="L47" s="224"/>
      <c r="M47" s="224"/>
      <c r="N47" s="230"/>
      <c r="O47" s="230"/>
      <c r="P47" s="230"/>
    </row>
    <row r="48" spans="1:21" ht="15.75">
      <c r="A48" s="378" t="s">
        <v>266</v>
      </c>
      <c r="B48" s="37"/>
      <c r="C48" s="37"/>
      <c r="D48" s="37"/>
      <c r="E48" s="25"/>
      <c r="F48" s="25"/>
      <c r="G48" s="25"/>
      <c r="H48"/>
      <c r="I48"/>
      <c r="M48" s="380"/>
      <c r="N48" s="380"/>
      <c r="O48" s="380"/>
      <c r="Q48" s="405"/>
      <c r="R48" s="405"/>
      <c r="S48" s="405"/>
      <c r="T48" s="405"/>
      <c r="U48" s="405" t="s">
        <v>191</v>
      </c>
    </row>
    <row r="49" spans="1:21" ht="15">
      <c r="A49" s="180" t="s">
        <v>204</v>
      </c>
      <c r="B49" s="26">
        <v>1526</v>
      </c>
      <c r="C49" s="26">
        <v>1543</v>
      </c>
      <c r="D49" s="26">
        <v>1562</v>
      </c>
      <c r="E49" s="97">
        <f>E5+E6+E18+E19+E38</f>
        <v>1582</v>
      </c>
      <c r="F49" s="27">
        <v>1172</v>
      </c>
      <c r="G49" s="97">
        <f aca="true" t="shared" si="0" ref="G49:L49">G5+G6+G18+G19+G38</f>
        <v>1169.1999999999998</v>
      </c>
      <c r="H49" s="97">
        <f t="shared" si="0"/>
        <v>1148</v>
      </c>
      <c r="I49" s="97">
        <f t="shared" si="0"/>
        <v>1141.8519999999999</v>
      </c>
      <c r="J49" s="392">
        <f t="shared" si="0"/>
        <v>1170.7930000000001</v>
      </c>
      <c r="K49" s="392">
        <f t="shared" si="0"/>
        <v>1211</v>
      </c>
      <c r="L49" s="392">
        <f t="shared" si="0"/>
        <v>1230.1</v>
      </c>
      <c r="M49" s="392">
        <f>SUM(M5,M6,M18,M19,M29,M30,M38)</f>
        <v>1260.415</v>
      </c>
      <c r="N49" s="392">
        <f>SUM(N5,N6,N18,N19,N29,N30,N38)</f>
        <v>1338.004</v>
      </c>
      <c r="O49" s="392">
        <f>SUM(O5,O6,O18,O19,O29,O30,O38)</f>
        <v>1358</v>
      </c>
      <c r="P49" s="392">
        <f aca="true" t="shared" si="1" ref="P49:U49">SUM(P5,P6,P29,P30,P38)</f>
        <v>1372.2</v>
      </c>
      <c r="Q49" s="392">
        <f t="shared" si="1"/>
        <v>1416</v>
      </c>
      <c r="R49" s="392">
        <f t="shared" si="1"/>
        <v>1377.3000000000002</v>
      </c>
      <c r="S49" s="392">
        <f t="shared" si="1"/>
        <v>1444.8999999999999</v>
      </c>
      <c r="T49" s="392">
        <f t="shared" si="1"/>
        <v>1407.6789999999999</v>
      </c>
      <c r="U49" s="392">
        <f t="shared" si="1"/>
        <v>1350.6689999999999</v>
      </c>
    </row>
    <row r="50" spans="1:21" ht="15">
      <c r="A50" s="180" t="s">
        <v>194</v>
      </c>
      <c r="B50" s="26">
        <v>6627</v>
      </c>
      <c r="C50" s="26">
        <v>6632</v>
      </c>
      <c r="D50" s="26">
        <v>6649</v>
      </c>
      <c r="E50" s="97">
        <f aca="true" t="shared" si="2" ref="E50:L50">E7+E20+E39</f>
        <v>6855.1</v>
      </c>
      <c r="F50" s="97">
        <f t="shared" si="2"/>
        <v>5588.6</v>
      </c>
      <c r="G50" s="97">
        <f t="shared" si="2"/>
        <v>5634.3</v>
      </c>
      <c r="H50" s="97">
        <f t="shared" si="2"/>
        <v>5331</v>
      </c>
      <c r="I50" s="97">
        <f t="shared" si="2"/>
        <v>5327.044</v>
      </c>
      <c r="J50" s="392">
        <f t="shared" si="2"/>
        <v>5293.725</v>
      </c>
      <c r="K50" s="392">
        <f t="shared" si="2"/>
        <v>5304</v>
      </c>
      <c r="L50" s="392">
        <f t="shared" si="2"/>
        <v>5330.2</v>
      </c>
      <c r="M50" s="392">
        <f>SUM(M7,M20,M31,M39)</f>
        <v>5720.606</v>
      </c>
      <c r="N50" s="392">
        <f>SUM(N7,N20,N31,N39)</f>
        <v>5921.467</v>
      </c>
      <c r="O50" s="392">
        <f>SUM(O7,O20,O31,O39)</f>
        <v>5970.9</v>
      </c>
      <c r="P50" s="392">
        <f>SUM(P7,P31,P39)</f>
        <v>6020</v>
      </c>
      <c r="Q50" s="392">
        <f>SUM(Q7,Q20,Q31,Q39)</f>
        <v>6012</v>
      </c>
      <c r="R50" s="392">
        <f>SUM(R7,R20,R31,R39)</f>
        <v>5699.1</v>
      </c>
      <c r="S50" s="392">
        <f>SUM(S7,S20,S31,S39)</f>
        <v>5934.8</v>
      </c>
      <c r="T50" s="392">
        <f>SUM(T7,T20,T31,T39)</f>
        <v>5871.78</v>
      </c>
      <c r="U50" s="392">
        <f>SUM(U7,U20,U31,U39)</f>
        <v>5626.268</v>
      </c>
    </row>
    <row r="51" spans="2:10" ht="15">
      <c r="B51" s="25"/>
      <c r="C51" s="25"/>
      <c r="D51" s="25"/>
      <c r="E51" s="32"/>
      <c r="F51" s="32"/>
      <c r="G51" s="32"/>
      <c r="H51" s="32"/>
      <c r="I51"/>
      <c r="J51" s="233"/>
    </row>
    <row r="52" spans="1:21" ht="15">
      <c r="A52" s="305"/>
      <c r="B52" s="33"/>
      <c r="C52" s="33"/>
      <c r="D52" s="33"/>
      <c r="E52" s="34"/>
      <c r="F52" s="25"/>
      <c r="G52" s="25"/>
      <c r="H52"/>
      <c r="I52"/>
      <c r="M52" s="380"/>
      <c r="N52" s="380"/>
      <c r="O52" s="380"/>
      <c r="Q52" s="405"/>
      <c r="R52" s="405"/>
      <c r="S52" s="405"/>
      <c r="T52" s="405"/>
      <c r="U52" s="405" t="s">
        <v>195</v>
      </c>
    </row>
    <row r="53" spans="1:21" ht="18">
      <c r="A53" s="305" t="s">
        <v>58</v>
      </c>
      <c r="B53" s="38">
        <v>41.5</v>
      </c>
      <c r="C53" s="38">
        <v>46.3</v>
      </c>
      <c r="D53" s="38">
        <v>47.6</v>
      </c>
      <c r="E53" s="38">
        <v>56.5</v>
      </c>
      <c r="F53" s="38">
        <v>66.4</v>
      </c>
      <c r="G53" s="41">
        <v>64.2</v>
      </c>
      <c r="H53" s="77">
        <v>57</v>
      </c>
      <c r="I53" s="89" t="s">
        <v>189</v>
      </c>
      <c r="J53" s="394">
        <f>J9+J22+J42</f>
        <v>52</v>
      </c>
      <c r="K53" s="394">
        <f>K9+K22+K42</f>
        <v>54.8</v>
      </c>
      <c r="L53" s="395">
        <f aca="true" t="shared" si="3" ref="L53:Q53">L9+L42</f>
        <v>4.5</v>
      </c>
      <c r="M53" s="394">
        <f t="shared" si="3"/>
        <v>4.4</v>
      </c>
      <c r="N53" s="394">
        <f t="shared" si="3"/>
        <v>4.5</v>
      </c>
      <c r="O53" s="394">
        <f t="shared" si="3"/>
        <v>5.1</v>
      </c>
      <c r="P53" s="394">
        <f t="shared" si="3"/>
        <v>5.1</v>
      </c>
      <c r="Q53" s="394">
        <f t="shared" si="3"/>
        <v>5</v>
      </c>
      <c r="R53" s="394">
        <f>R9+R42</f>
        <v>5</v>
      </c>
      <c r="S53" s="394">
        <f>S9+S42</f>
        <v>5.7</v>
      </c>
      <c r="T53" s="394">
        <f>T9+T42</f>
        <v>5.34</v>
      </c>
      <c r="U53" s="394">
        <f>U9+U42</f>
        <v>4.8</v>
      </c>
    </row>
    <row r="54" spans="1:10" ht="15">
      <c r="A54" s="305"/>
      <c r="B54" s="33"/>
      <c r="C54" s="33"/>
      <c r="D54" s="33"/>
      <c r="E54" s="33"/>
      <c r="F54" s="33"/>
      <c r="G54" s="25"/>
      <c r="H54" s="75"/>
      <c r="I54"/>
      <c r="J54" s="384"/>
    </row>
    <row r="55" spans="1:21" ht="15">
      <c r="A55" s="305"/>
      <c r="B55" s="33"/>
      <c r="C55" s="33"/>
      <c r="D55" s="33"/>
      <c r="E55" s="33"/>
      <c r="F55" s="25"/>
      <c r="G55" s="25"/>
      <c r="H55"/>
      <c r="I55"/>
      <c r="M55" s="380"/>
      <c r="N55" s="380"/>
      <c r="O55" s="380"/>
      <c r="Q55" s="405"/>
      <c r="R55" s="405"/>
      <c r="S55" s="405"/>
      <c r="T55" s="405"/>
      <c r="U55" s="405" t="s">
        <v>197</v>
      </c>
    </row>
    <row r="56" spans="1:21" ht="15">
      <c r="A56" s="305" t="s">
        <v>206</v>
      </c>
      <c r="B56" s="27">
        <v>45714</v>
      </c>
      <c r="C56" s="27">
        <v>46614</v>
      </c>
      <c r="D56" s="27">
        <v>47912</v>
      </c>
      <c r="E56" s="27">
        <v>50267</v>
      </c>
      <c r="F56" s="27">
        <v>51716</v>
      </c>
      <c r="G56" s="26">
        <v>51952</v>
      </c>
      <c r="H56" s="28">
        <v>52875</v>
      </c>
      <c r="I56" s="89" t="s">
        <v>189</v>
      </c>
      <c r="J56" s="396">
        <f>J12+J25+J45</f>
        <v>55325</v>
      </c>
      <c r="K56" s="396">
        <f>K12+K25+K45</f>
        <v>58015</v>
      </c>
      <c r="L56" s="396">
        <f>SUM(L12,L25,L34,L45)</f>
        <v>57698</v>
      </c>
      <c r="M56" s="397" t="s">
        <v>189</v>
      </c>
      <c r="N56" s="397" t="s">
        <v>189</v>
      </c>
      <c r="O56" s="396">
        <f aca="true" t="shared" si="4" ref="O56:T56">SUM(O12,O25,O34,O45)</f>
        <v>73610</v>
      </c>
      <c r="P56" s="396">
        <f t="shared" si="4"/>
        <v>78404</v>
      </c>
      <c r="Q56" s="396">
        <f t="shared" si="4"/>
        <v>82171</v>
      </c>
      <c r="R56" s="396">
        <f t="shared" si="4"/>
        <v>82384</v>
      </c>
      <c r="S56" s="396">
        <f t="shared" si="4"/>
        <v>79830</v>
      </c>
      <c r="T56" s="396">
        <f t="shared" si="4"/>
        <v>84975</v>
      </c>
      <c r="U56" s="396">
        <f>SUM(U12,U25,U34,U45)</f>
        <v>86935</v>
      </c>
    </row>
    <row r="57" spans="1:21" ht="15">
      <c r="A57" s="406" t="s">
        <v>207</v>
      </c>
      <c r="B57" s="406"/>
      <c r="C57" s="406"/>
      <c r="D57" s="406"/>
      <c r="E57" s="406"/>
      <c r="F57" s="406"/>
      <c r="G57" s="406"/>
      <c r="H57" s="406"/>
      <c r="I57" s="406"/>
      <c r="J57" s="407">
        <f>J13+J26+J46</f>
        <v>34573</v>
      </c>
      <c r="K57" s="407">
        <f>K13+K26+K46</f>
        <v>35858</v>
      </c>
      <c r="L57" s="407">
        <f>SUM(L13,L26,L35,L46)</f>
        <v>34009</v>
      </c>
      <c r="M57" s="407">
        <f>SUM(M13,M26,M35,M46)</f>
        <v>49003</v>
      </c>
      <c r="N57" s="407">
        <f>SUM(N13,N26,N35,N46)</f>
        <v>58961</v>
      </c>
      <c r="O57" s="407">
        <f>SUM(O13,O26,O35,O46)</f>
        <v>59404</v>
      </c>
      <c r="P57" s="407">
        <f>SUM(P13,P26,P35,P46)</f>
        <v>68634</v>
      </c>
      <c r="Q57" s="407">
        <f>SUM(Q13,Q14,Q26,Q35,Q46)</f>
        <v>76936</v>
      </c>
      <c r="R57" s="407">
        <f>SUM(R13,R14,R26,R35,R46)</f>
        <v>92593</v>
      </c>
      <c r="S57" s="407">
        <f>SUM(S13,S14,S26,S35,S46)</f>
        <v>102357</v>
      </c>
      <c r="T57" s="407">
        <f>SUM(T13,T14,T26,T35,T46)</f>
        <v>103620</v>
      </c>
      <c r="U57" s="407">
        <f>SUM(U13,U14,U26,U35,U46)</f>
        <v>114335</v>
      </c>
    </row>
    <row r="58" spans="1:20" ht="15">
      <c r="A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</row>
    <row r="59" spans="2:12" ht="15" hidden="1">
      <c r="B59" s="27">
        <v>13316</v>
      </c>
      <c r="C59" s="27">
        <v>19619</v>
      </c>
      <c r="D59" s="27">
        <v>16388</v>
      </c>
      <c r="E59" s="27">
        <v>19735</v>
      </c>
      <c r="F59" s="27">
        <v>23337</v>
      </c>
      <c r="G59" s="27">
        <v>23369</v>
      </c>
      <c r="H59" s="601">
        <v>32631</v>
      </c>
      <c r="I59" s="145">
        <f>I13+I26+I46</f>
        <v>29814</v>
      </c>
      <c r="J59" s="399" t="str">
        <f>IF(ABS(J49-J63-J38-J19-J18-J6-J5)&gt;comments!$A$1,J49-J38-J19-J18-J6-J5," ")</f>
        <v> </v>
      </c>
      <c r="K59" s="399" t="str">
        <f>IF(ABS(K49-K63-K38-K19-K18-K6-K5)&gt;comments!$A$1,K49-K38-K19-K18-K6-K5," ")</f>
        <v> </v>
      </c>
      <c r="L59" s="399" t="str">
        <f>IF(ABS(L49-L63-L38-L19-L18-L6-L5)&gt;comments!$A$1,L49-L38-L19-L18-L6-L5," ")</f>
        <v> </v>
      </c>
    </row>
    <row r="60" spans="10:12" ht="15">
      <c r="J60" s="399"/>
      <c r="K60" s="399"/>
      <c r="L60" s="399"/>
    </row>
    <row r="61" spans="1:21" ht="18.75">
      <c r="A61" s="400" t="s">
        <v>42</v>
      </c>
      <c r="B61" s="400"/>
      <c r="C61" s="400"/>
      <c r="D61" s="400"/>
      <c r="E61" s="400"/>
      <c r="F61" s="400"/>
      <c r="G61" s="400"/>
      <c r="H61" s="400"/>
      <c r="I61" s="400"/>
      <c r="N61" s="380"/>
      <c r="O61" s="380"/>
      <c r="P61" s="380"/>
      <c r="R61" s="405"/>
      <c r="S61" s="405"/>
      <c r="T61" s="405"/>
      <c r="U61" s="405" t="s">
        <v>191</v>
      </c>
    </row>
    <row r="62" spans="1:22" ht="15">
      <c r="A62" s="180" t="s">
        <v>192</v>
      </c>
      <c r="B62" s="89" t="s">
        <v>189</v>
      </c>
      <c r="C62" s="89" t="s">
        <v>189</v>
      </c>
      <c r="D62" s="89" t="s">
        <v>189</v>
      </c>
      <c r="E62" s="26">
        <v>199.863</v>
      </c>
      <c r="F62" s="26">
        <v>266.051</v>
      </c>
      <c r="G62" s="26">
        <v>284.122</v>
      </c>
      <c r="H62" s="68">
        <v>252.714</v>
      </c>
      <c r="I62" s="25">
        <v>252</v>
      </c>
      <c r="J62" s="401">
        <v>264.385</v>
      </c>
      <c r="K62" s="401">
        <v>275</v>
      </c>
      <c r="L62" s="402">
        <v>301.9</v>
      </c>
      <c r="M62" s="402">
        <v>296</v>
      </c>
      <c r="N62" s="402">
        <v>315</v>
      </c>
      <c r="O62" s="236">
        <v>299.5</v>
      </c>
      <c r="P62" s="236">
        <v>324.033</v>
      </c>
      <c r="Q62" s="236">
        <v>346.67</v>
      </c>
      <c r="R62" s="545">
        <v>258</v>
      </c>
      <c r="S62" s="389">
        <v>265.5</v>
      </c>
      <c r="T62" s="389">
        <v>341</v>
      </c>
      <c r="U62" s="384">
        <v>389</v>
      </c>
      <c r="V62" s="389" t="s">
        <v>292</v>
      </c>
    </row>
    <row r="63" spans="1:21" ht="15">
      <c r="A63" s="180" t="s">
        <v>193</v>
      </c>
      <c r="B63" s="89" t="s">
        <v>189</v>
      </c>
      <c r="C63" s="89" t="s">
        <v>189</v>
      </c>
      <c r="D63" s="89" t="s">
        <v>189</v>
      </c>
      <c r="E63" s="26">
        <v>17.926</v>
      </c>
      <c r="F63" s="26">
        <v>21.692</v>
      </c>
      <c r="G63" s="26">
        <v>22.971</v>
      </c>
      <c r="H63" s="26">
        <v>20.797</v>
      </c>
      <c r="I63" s="25">
        <v>25</v>
      </c>
      <c r="J63" s="403">
        <v>25.878</v>
      </c>
      <c r="K63" s="401">
        <v>24</v>
      </c>
      <c r="L63" s="402">
        <v>25.1</v>
      </c>
      <c r="M63" s="402">
        <v>26</v>
      </c>
      <c r="N63" s="402">
        <v>25</v>
      </c>
      <c r="O63" s="236">
        <v>22.5</v>
      </c>
      <c r="P63" s="236">
        <v>21.19</v>
      </c>
      <c r="Q63" s="236">
        <v>20.775</v>
      </c>
      <c r="R63" s="545">
        <v>16</v>
      </c>
      <c r="S63" s="389">
        <v>16</v>
      </c>
      <c r="T63" s="389">
        <v>20</v>
      </c>
      <c r="U63" s="384">
        <v>21</v>
      </c>
    </row>
    <row r="64" spans="1:21" ht="15">
      <c r="A64" s="180" t="s">
        <v>194</v>
      </c>
      <c r="B64" s="89" t="s">
        <v>189</v>
      </c>
      <c r="C64" s="89" t="s">
        <v>189</v>
      </c>
      <c r="D64" s="89" t="s">
        <v>189</v>
      </c>
      <c r="E64" s="88">
        <v>535.6555</v>
      </c>
      <c r="F64" s="88">
        <v>697.9275</v>
      </c>
      <c r="G64" s="88">
        <v>741.7145</v>
      </c>
      <c r="H64" s="88">
        <v>660.087</v>
      </c>
      <c r="I64" s="25">
        <v>667</v>
      </c>
      <c r="J64" s="403">
        <v>674.281</v>
      </c>
      <c r="K64" s="401">
        <v>676</v>
      </c>
      <c r="L64" s="402">
        <v>732</v>
      </c>
      <c r="M64" s="402">
        <v>696</v>
      </c>
      <c r="N64" s="402">
        <v>755</v>
      </c>
      <c r="O64" s="236">
        <v>716</v>
      </c>
      <c r="P64" s="236">
        <v>770.048</v>
      </c>
      <c r="Q64" s="236">
        <v>805.466</v>
      </c>
      <c r="R64" s="651">
        <v>782.95</v>
      </c>
      <c r="S64" s="389">
        <v>782.089</v>
      </c>
      <c r="T64" s="389">
        <v>763</v>
      </c>
      <c r="U64" s="384">
        <v>798</v>
      </c>
    </row>
    <row r="65" spans="1:21" ht="15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8"/>
      <c r="N65" s="406"/>
      <c r="O65" s="406"/>
      <c r="P65" s="406"/>
      <c r="Q65" s="406"/>
      <c r="R65" s="406"/>
      <c r="S65" s="406"/>
      <c r="T65" s="406"/>
      <c r="U65" s="406"/>
    </row>
    <row r="66" spans="1:20" s="184" customFormat="1" ht="15" customHeight="1">
      <c r="A66" s="184" t="s">
        <v>601</v>
      </c>
      <c r="J66" s="67"/>
      <c r="K66" s="67"/>
      <c r="L66" s="67"/>
      <c r="M66" s="409"/>
      <c r="N66" s="67"/>
      <c r="O66" s="67"/>
      <c r="P66" s="67"/>
      <c r="Q66" s="67"/>
      <c r="R66" s="67"/>
      <c r="S66" s="67"/>
      <c r="T66" s="67"/>
    </row>
    <row r="67" s="184" customFormat="1" ht="12.75">
      <c r="A67" s="184" t="s">
        <v>747</v>
      </c>
    </row>
    <row r="68" s="184" customFormat="1" ht="12.75">
      <c r="A68" s="184" t="s">
        <v>320</v>
      </c>
    </row>
    <row r="69" s="184" customFormat="1" ht="12.75">
      <c r="A69" s="184" t="s">
        <v>392</v>
      </c>
    </row>
    <row r="70" s="184" customFormat="1" ht="12.75">
      <c r="A70" s="184" t="s">
        <v>319</v>
      </c>
    </row>
    <row r="71" s="184" customFormat="1" ht="12.75">
      <c r="A71" s="184" t="s">
        <v>457</v>
      </c>
    </row>
    <row r="72" s="184" customFormat="1" ht="12.75">
      <c r="A72" s="184" t="s">
        <v>458</v>
      </c>
    </row>
    <row r="73" s="184" customFormat="1" ht="12.75">
      <c r="A73" s="184" t="s">
        <v>3</v>
      </c>
    </row>
    <row r="74" s="184" customFormat="1" ht="12.75">
      <c r="A74" s="184" t="s">
        <v>459</v>
      </c>
    </row>
    <row r="75" s="184" customFormat="1" ht="12.75">
      <c r="A75" s="184" t="s">
        <v>584</v>
      </c>
    </row>
    <row r="76" s="184" customFormat="1" ht="12.75">
      <c r="A76" s="184" t="s">
        <v>460</v>
      </c>
    </row>
    <row r="77" s="184" customFormat="1" ht="13.5" customHeight="1">
      <c r="A77" s="184" t="s">
        <v>605</v>
      </c>
    </row>
    <row r="78" s="184" customFormat="1" ht="13.5" customHeight="1">
      <c r="A78" s="184" t="s">
        <v>604</v>
      </c>
    </row>
    <row r="79" s="184" customFormat="1" ht="13.5" customHeight="1">
      <c r="A79" s="184" t="s">
        <v>589</v>
      </c>
    </row>
    <row r="80" s="184" customFormat="1" ht="12" customHeight="1">
      <c r="A80" s="184" t="s">
        <v>586</v>
      </c>
    </row>
    <row r="81" s="184" customFormat="1" ht="12.75" customHeight="1">
      <c r="A81" s="184" t="s">
        <v>127</v>
      </c>
    </row>
    <row r="82" s="184" customFormat="1" ht="12.75">
      <c r="A82" s="184" t="s">
        <v>128</v>
      </c>
    </row>
    <row r="83" spans="1:9" ht="15">
      <c r="A83" s="184" t="s">
        <v>43</v>
      </c>
      <c r="B83" s="184"/>
      <c r="C83" s="184"/>
      <c r="D83" s="184"/>
      <c r="E83" s="184"/>
      <c r="F83" s="184"/>
      <c r="G83" s="184"/>
      <c r="H83" s="184"/>
      <c r="I83" s="184"/>
    </row>
    <row r="84" ht="15">
      <c r="A84" s="18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6" r:id="rId1"/>
  <headerFooter alignWithMargins="0">
    <oddHeader>&amp;R&amp;"Arial,Bold"&amp;18WATER TRANSPORT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8.28125" style="25" customWidth="1"/>
    <col min="2" max="2" width="9.7109375" style="25" hidden="1" customWidth="1"/>
    <col min="3" max="3" width="9.421875" style="25" hidden="1" customWidth="1"/>
    <col min="4" max="8" width="9.57421875" style="25" hidden="1" customWidth="1"/>
    <col min="9" max="9" width="9.7109375" style="25" hidden="1" customWidth="1"/>
    <col min="10" max="10" width="11.421875" style="25" hidden="1" customWidth="1"/>
    <col min="11" max="14" width="9.7109375" style="25" customWidth="1"/>
    <col min="15" max="15" width="9.421875" style="25" customWidth="1"/>
    <col min="16" max="17" width="9.7109375" style="25" customWidth="1"/>
    <col min="18" max="19" width="10.57421875" style="25" customWidth="1"/>
    <col min="20" max="20" width="11.140625" style="25" customWidth="1"/>
    <col min="21" max="16384" width="9.140625" style="25" customWidth="1"/>
  </cols>
  <sheetData>
    <row r="1" spans="1:20" ht="16.5">
      <c r="A1" s="533" t="s">
        <v>745</v>
      </c>
      <c r="B1" s="533"/>
      <c r="C1" s="533"/>
      <c r="D1" s="533"/>
      <c r="E1" s="533"/>
      <c r="F1" s="533"/>
      <c r="G1" s="533"/>
      <c r="H1" s="533"/>
      <c r="I1" s="5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1" ht="9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269"/>
    </row>
    <row r="3" spans="1:21" ht="18" customHeight="1">
      <c r="A3" s="416" t="s">
        <v>211</v>
      </c>
      <c r="B3" s="416"/>
      <c r="C3" s="416"/>
      <c r="D3" s="416"/>
      <c r="E3" s="416"/>
      <c r="F3" s="416"/>
      <c r="G3" s="416"/>
      <c r="H3" s="416"/>
      <c r="I3" s="416"/>
      <c r="J3" s="703" t="s">
        <v>194</v>
      </c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275"/>
    </row>
    <row r="4" spans="1:21" ht="16.5" customHeight="1">
      <c r="A4" s="269"/>
      <c r="B4" s="417">
        <v>1992</v>
      </c>
      <c r="C4" s="417">
        <v>1993</v>
      </c>
      <c r="D4" s="417">
        <v>1994</v>
      </c>
      <c r="E4" s="417">
        <v>1995</v>
      </c>
      <c r="F4" s="417">
        <v>1996</v>
      </c>
      <c r="G4" s="417">
        <v>1997</v>
      </c>
      <c r="H4" s="417">
        <v>1998</v>
      </c>
      <c r="I4" s="417">
        <v>1999</v>
      </c>
      <c r="J4" s="417">
        <v>2000</v>
      </c>
      <c r="K4" s="417">
        <v>2001</v>
      </c>
      <c r="L4" s="417">
        <v>2002</v>
      </c>
      <c r="M4" s="417">
        <v>2003</v>
      </c>
      <c r="N4" s="417">
        <v>2004</v>
      </c>
      <c r="O4" s="417">
        <v>2005</v>
      </c>
      <c r="P4" s="417">
        <v>2006</v>
      </c>
      <c r="Q4" s="417">
        <v>2007</v>
      </c>
      <c r="R4" s="417">
        <v>2008</v>
      </c>
      <c r="S4" s="417">
        <v>2009</v>
      </c>
      <c r="T4" s="417">
        <v>2010</v>
      </c>
      <c r="U4" s="417">
        <v>2011</v>
      </c>
    </row>
    <row r="5" spans="1:21" ht="15.75">
      <c r="A5" s="37" t="s">
        <v>143</v>
      </c>
      <c r="B5" s="13"/>
      <c r="C5" s="13"/>
      <c r="D5" s="13"/>
      <c r="E5" s="10"/>
      <c r="F5" s="617"/>
      <c r="G5" s="10"/>
      <c r="H5"/>
      <c r="I5"/>
      <c r="M5" s="181"/>
      <c r="N5" s="181"/>
      <c r="O5" s="181"/>
      <c r="Q5" s="16"/>
      <c r="R5" s="16"/>
      <c r="S5" s="16"/>
      <c r="T5" s="16"/>
      <c r="U5" s="16" t="s">
        <v>174</v>
      </c>
    </row>
    <row r="6" spans="1:21" ht="18">
      <c r="A6" s="450" t="s">
        <v>714</v>
      </c>
      <c r="B6" s="38">
        <v>669.8</v>
      </c>
      <c r="C6" s="38">
        <v>653.3</v>
      </c>
      <c r="D6" s="38">
        <v>614.9</v>
      </c>
      <c r="E6" s="38">
        <v>636.2</v>
      </c>
      <c r="F6" s="38">
        <v>643.7</v>
      </c>
      <c r="G6" s="38">
        <v>632.8</v>
      </c>
      <c r="H6" s="38">
        <v>613.7</v>
      </c>
      <c r="I6" s="36">
        <v>634.46</v>
      </c>
      <c r="J6" s="36">
        <v>621.902</v>
      </c>
      <c r="K6" s="25">
        <v>627.1</v>
      </c>
      <c r="L6" s="75">
        <v>593.7</v>
      </c>
      <c r="M6" s="142">
        <v>565.6</v>
      </c>
      <c r="N6" s="142">
        <v>619.776</v>
      </c>
      <c r="O6" s="142">
        <v>624.732</v>
      </c>
      <c r="P6" s="142">
        <v>615.215</v>
      </c>
      <c r="Q6" s="142">
        <v>607.2</v>
      </c>
      <c r="R6" s="142">
        <v>550.849</v>
      </c>
      <c r="S6" s="142">
        <v>533.479</v>
      </c>
      <c r="T6" s="142">
        <v>499.228</v>
      </c>
      <c r="U6" s="142">
        <v>409.236</v>
      </c>
    </row>
    <row r="7" spans="1:21" ht="15">
      <c r="A7" s="450" t="s">
        <v>706</v>
      </c>
      <c r="B7" s="38">
        <v>640.7</v>
      </c>
      <c r="C7" s="38">
        <v>624.5</v>
      </c>
      <c r="D7" s="38">
        <v>656.2</v>
      </c>
      <c r="E7" s="38">
        <v>701.8</v>
      </c>
      <c r="F7" s="38">
        <v>693.1</v>
      </c>
      <c r="G7" s="38">
        <v>685.7</v>
      </c>
      <c r="H7" s="38">
        <v>677.1</v>
      </c>
      <c r="I7" s="36">
        <v>666.659</v>
      </c>
      <c r="J7" s="36">
        <v>681.099</v>
      </c>
      <c r="K7" s="25">
        <v>708.3</v>
      </c>
      <c r="L7" s="75">
        <v>709.7</v>
      </c>
      <c r="M7" s="142">
        <v>770.7</v>
      </c>
      <c r="N7" s="142">
        <v>764.159</v>
      </c>
      <c r="O7" s="142">
        <v>750.119</v>
      </c>
      <c r="P7" s="142">
        <v>759.68</v>
      </c>
      <c r="Q7" s="142">
        <v>770.3</v>
      </c>
      <c r="R7" s="142">
        <v>740.969</v>
      </c>
      <c r="S7" s="142">
        <v>755.93</v>
      </c>
      <c r="T7" s="142">
        <v>735.308</v>
      </c>
      <c r="U7" s="142">
        <v>711.537</v>
      </c>
    </row>
    <row r="8" spans="1:21" ht="15">
      <c r="A8" s="450" t="s">
        <v>707</v>
      </c>
      <c r="B8" s="38">
        <v>206.6</v>
      </c>
      <c r="C8" s="38">
        <v>242.1</v>
      </c>
      <c r="D8" s="38">
        <v>230.8</v>
      </c>
      <c r="E8" s="38">
        <v>253.3</v>
      </c>
      <c r="F8" s="38">
        <v>258.4</v>
      </c>
      <c r="G8" s="38">
        <v>272.5</v>
      </c>
      <c r="H8" s="38">
        <v>244.5</v>
      </c>
      <c r="I8" s="36">
        <v>243.925</v>
      </c>
      <c r="J8" s="36">
        <v>249.551</v>
      </c>
      <c r="K8" s="25">
        <v>285.4</v>
      </c>
      <c r="L8" s="75">
        <v>269.8</v>
      </c>
      <c r="M8" s="142">
        <v>272.9</v>
      </c>
      <c r="N8" s="142">
        <v>268.377</v>
      </c>
      <c r="O8" s="142">
        <v>279.85</v>
      </c>
      <c r="P8" s="142">
        <v>264.644</v>
      </c>
      <c r="Q8" s="142">
        <v>257.5</v>
      </c>
      <c r="R8" s="142">
        <v>256.332</v>
      </c>
      <c r="S8" s="142">
        <v>260.626</v>
      </c>
      <c r="T8" s="142">
        <v>264.287</v>
      </c>
      <c r="U8" s="142">
        <v>227.996</v>
      </c>
    </row>
    <row r="9" spans="1:21" ht="15">
      <c r="A9" s="450" t="s">
        <v>288</v>
      </c>
      <c r="B9" s="39" t="s">
        <v>189</v>
      </c>
      <c r="C9" s="39" t="s">
        <v>189</v>
      </c>
      <c r="D9" s="618">
        <v>18.8</v>
      </c>
      <c r="E9" s="38">
        <v>31.4</v>
      </c>
      <c r="F9" s="38">
        <v>39.2</v>
      </c>
      <c r="G9" s="38">
        <v>36</v>
      </c>
      <c r="H9" s="38">
        <v>42.6</v>
      </c>
      <c r="I9" s="36">
        <v>39.379</v>
      </c>
      <c r="J9" s="36">
        <v>37.5</v>
      </c>
      <c r="K9" s="25">
        <v>41.7</v>
      </c>
      <c r="L9" s="75">
        <v>40.7</v>
      </c>
      <c r="M9" s="142">
        <v>49</v>
      </c>
      <c r="N9" s="142">
        <v>52.868</v>
      </c>
      <c r="O9" s="142">
        <v>57.87</v>
      </c>
      <c r="P9" s="142">
        <v>67.605</v>
      </c>
      <c r="Q9" s="142">
        <v>60.4</v>
      </c>
      <c r="R9" s="142">
        <v>59.476</v>
      </c>
      <c r="S9" s="142">
        <v>69.721</v>
      </c>
      <c r="T9" s="142">
        <v>68.095</v>
      </c>
      <c r="U9" s="142">
        <v>61.657</v>
      </c>
    </row>
    <row r="10" spans="1:21" ht="15">
      <c r="A10" s="450" t="s">
        <v>709</v>
      </c>
      <c r="B10" s="38">
        <v>577.1</v>
      </c>
      <c r="C10" s="38">
        <v>571.5</v>
      </c>
      <c r="D10" s="38">
        <v>578.9</v>
      </c>
      <c r="E10" s="38">
        <v>618.9</v>
      </c>
      <c r="F10" s="38">
        <v>620.5</v>
      </c>
      <c r="G10" s="38">
        <v>636.4</v>
      </c>
      <c r="H10" s="38">
        <v>618.3</v>
      </c>
      <c r="I10" s="36">
        <v>627.693</v>
      </c>
      <c r="J10" s="36">
        <v>626.623</v>
      </c>
      <c r="K10" s="25">
        <v>630.7</v>
      </c>
      <c r="L10" s="75">
        <v>660.3</v>
      </c>
      <c r="M10" s="142">
        <v>702</v>
      </c>
      <c r="N10" s="142">
        <v>716.631</v>
      </c>
      <c r="O10" s="142">
        <v>742.649</v>
      </c>
      <c r="P10" s="142">
        <v>735.928</v>
      </c>
      <c r="Q10" s="142">
        <v>749</v>
      </c>
      <c r="R10" s="142">
        <v>707.441</v>
      </c>
      <c r="S10" s="142">
        <v>715.724</v>
      </c>
      <c r="T10" s="142">
        <v>731.126</v>
      </c>
      <c r="U10" s="142">
        <v>692.438</v>
      </c>
    </row>
    <row r="11" spans="1:21" ht="18">
      <c r="A11" s="450" t="s">
        <v>710</v>
      </c>
      <c r="B11" s="38">
        <v>62.4</v>
      </c>
      <c r="C11" s="38">
        <v>60.1</v>
      </c>
      <c r="D11" s="38">
        <v>54.9</v>
      </c>
      <c r="E11" s="38">
        <v>61</v>
      </c>
      <c r="F11" s="38">
        <v>60.8</v>
      </c>
      <c r="G11" s="38">
        <v>57.2</v>
      </c>
      <c r="H11" s="38">
        <v>51.4</v>
      </c>
      <c r="I11" s="35">
        <v>48.868</v>
      </c>
      <c r="J11" s="35">
        <v>46.853</v>
      </c>
      <c r="K11" s="25">
        <v>52.6</v>
      </c>
      <c r="L11" s="75">
        <v>51.7</v>
      </c>
      <c r="M11" s="142">
        <v>54</v>
      </c>
      <c r="N11" s="142">
        <v>53.964</v>
      </c>
      <c r="O11" s="142">
        <v>53.989</v>
      </c>
      <c r="P11" s="142">
        <v>52.393</v>
      </c>
      <c r="Q11" s="142">
        <v>54.5</v>
      </c>
      <c r="R11" s="142">
        <v>50.16</v>
      </c>
      <c r="S11" s="142">
        <v>54.433</v>
      </c>
      <c r="T11" s="142">
        <v>52.062</v>
      </c>
      <c r="U11" s="142">
        <v>46.888</v>
      </c>
    </row>
    <row r="12" spans="1:21" ht="15">
      <c r="A12" s="450" t="s">
        <v>711</v>
      </c>
      <c r="B12" s="38">
        <v>680</v>
      </c>
      <c r="C12" s="38">
        <v>667.8</v>
      </c>
      <c r="D12" s="38">
        <v>647.8</v>
      </c>
      <c r="E12" s="38">
        <v>690.1</v>
      </c>
      <c r="F12" s="38">
        <v>654.4</v>
      </c>
      <c r="G12" s="38">
        <v>649.4</v>
      </c>
      <c r="H12" s="38">
        <v>621</v>
      </c>
      <c r="I12" s="36">
        <v>629.149</v>
      </c>
      <c r="J12" s="36">
        <v>623.274</v>
      </c>
      <c r="K12" s="25">
        <v>647.6</v>
      </c>
      <c r="L12" s="75">
        <v>659.5</v>
      </c>
      <c r="M12" s="142">
        <v>710</v>
      </c>
      <c r="N12" s="142">
        <v>682.936</v>
      </c>
      <c r="O12" s="142">
        <v>698.551</v>
      </c>
      <c r="P12" s="142">
        <v>722.561</v>
      </c>
      <c r="Q12" s="142">
        <v>750.4</v>
      </c>
      <c r="R12" s="142">
        <v>710.837</v>
      </c>
      <c r="S12" s="142">
        <v>720.411</v>
      </c>
      <c r="T12" s="142">
        <v>727.31</v>
      </c>
      <c r="U12" s="142">
        <v>697.713</v>
      </c>
    </row>
    <row r="13" spans="1:21" ht="18">
      <c r="A13" s="450" t="s">
        <v>0</v>
      </c>
      <c r="B13" s="38">
        <v>149</v>
      </c>
      <c r="C13" s="38">
        <v>153.2</v>
      </c>
      <c r="D13" s="38">
        <v>135.5</v>
      </c>
      <c r="E13" s="38">
        <v>112.9</v>
      </c>
      <c r="F13" s="38">
        <v>51.1</v>
      </c>
      <c r="G13" s="38">
        <v>64.6</v>
      </c>
      <c r="H13" s="38">
        <v>46.5</v>
      </c>
      <c r="I13" s="25">
        <v>53.6</v>
      </c>
      <c r="J13" s="41">
        <v>53.9</v>
      </c>
      <c r="K13" s="25">
        <v>37.4</v>
      </c>
      <c r="L13" s="75">
        <v>39.2</v>
      </c>
      <c r="M13" s="142">
        <v>47</v>
      </c>
      <c r="N13" s="142">
        <v>45.602</v>
      </c>
      <c r="O13" s="142">
        <v>48.217</v>
      </c>
      <c r="P13" s="142">
        <v>49.806</v>
      </c>
      <c r="Q13" s="142">
        <v>50</v>
      </c>
      <c r="R13" s="73" t="s">
        <v>152</v>
      </c>
      <c r="S13" s="73" t="s">
        <v>152</v>
      </c>
      <c r="T13" s="73" t="s">
        <v>152</v>
      </c>
      <c r="U13" s="73" t="s">
        <v>152</v>
      </c>
    </row>
    <row r="14" spans="1:21" ht="15">
      <c r="A14" s="450" t="s">
        <v>713</v>
      </c>
      <c r="B14" s="38">
        <v>3036.8</v>
      </c>
      <c r="C14" s="38">
        <v>3016</v>
      </c>
      <c r="D14" s="38">
        <v>2980.5</v>
      </c>
      <c r="E14" s="38">
        <v>3156.3</v>
      </c>
      <c r="F14" s="38">
        <v>3096.1</v>
      </c>
      <c r="G14" s="38">
        <v>3116.1</v>
      </c>
      <c r="H14" s="38">
        <v>2989.8</v>
      </c>
      <c r="I14" s="41">
        <v>3017.4</v>
      </c>
      <c r="J14" s="77">
        <v>3013.218</v>
      </c>
      <c r="K14" s="77">
        <v>3031</v>
      </c>
      <c r="L14" s="128">
        <f aca="true" t="shared" si="0" ref="L14:T14">SUM(L6:L13)</f>
        <v>3024.5999999999995</v>
      </c>
      <c r="M14" s="128">
        <f t="shared" si="0"/>
        <v>3171.2000000000003</v>
      </c>
      <c r="N14" s="218">
        <f t="shared" si="0"/>
        <v>3204.3129999999996</v>
      </c>
      <c r="O14" s="218">
        <f t="shared" si="0"/>
        <v>3255.977</v>
      </c>
      <c r="P14" s="218">
        <f t="shared" si="0"/>
        <v>3267.8320000000003</v>
      </c>
      <c r="Q14" s="218">
        <f t="shared" si="0"/>
        <v>3299.3</v>
      </c>
      <c r="R14" s="218">
        <f t="shared" si="0"/>
        <v>3076.064</v>
      </c>
      <c r="S14" s="218">
        <f t="shared" si="0"/>
        <v>3110.324</v>
      </c>
      <c r="T14" s="218">
        <f t="shared" si="0"/>
        <v>3077.4159999999997</v>
      </c>
      <c r="U14" s="218">
        <v>2847.465</v>
      </c>
    </row>
    <row r="15" spans="1:21" ht="7.5" customHeight="1">
      <c r="A15" s="33"/>
      <c r="B15" s="40" t="s">
        <v>292</v>
      </c>
      <c r="C15" s="40" t="s">
        <v>292</v>
      </c>
      <c r="D15" s="40" t="s">
        <v>292</v>
      </c>
      <c r="E15" s="40" t="s">
        <v>292</v>
      </c>
      <c r="F15" s="40" t="s">
        <v>292</v>
      </c>
      <c r="G15" s="40" t="s">
        <v>292</v>
      </c>
      <c r="H15" s="40" t="s">
        <v>292</v>
      </c>
      <c r="J15" s="40" t="s">
        <v>292</v>
      </c>
      <c r="N15" s="75"/>
      <c r="O15" s="142"/>
      <c r="P15" s="142"/>
      <c r="S15" s="75"/>
      <c r="T15" s="75"/>
      <c r="U15" s="75"/>
    </row>
    <row r="16" spans="1:21" ht="15.75">
      <c r="A16" s="37" t="s">
        <v>160</v>
      </c>
      <c r="B16" s="38"/>
      <c r="C16" s="38"/>
      <c r="D16" s="38"/>
      <c r="E16" s="38"/>
      <c r="F16" s="38"/>
      <c r="G16" s="38"/>
      <c r="H16" s="38"/>
      <c r="N16" s="75"/>
      <c r="O16" s="142"/>
      <c r="P16" s="142"/>
      <c r="S16" s="75"/>
      <c r="T16" s="75"/>
      <c r="U16" s="75"/>
    </row>
    <row r="17" spans="1:21" ht="15">
      <c r="A17" s="450" t="s">
        <v>690</v>
      </c>
      <c r="B17" s="38">
        <v>105.6</v>
      </c>
      <c r="C17" s="38">
        <v>106.5</v>
      </c>
      <c r="D17" s="38">
        <v>111.3</v>
      </c>
      <c r="E17" s="38">
        <v>111.4</v>
      </c>
      <c r="F17" s="38">
        <v>116.8</v>
      </c>
      <c r="G17" s="38">
        <v>120.7</v>
      </c>
      <c r="H17" s="38">
        <v>118.6</v>
      </c>
      <c r="I17" s="36">
        <v>119.076</v>
      </c>
      <c r="J17" s="36">
        <v>121.288</v>
      </c>
      <c r="K17" s="25">
        <v>118.6</v>
      </c>
      <c r="L17" s="142">
        <v>126</v>
      </c>
      <c r="M17" s="142">
        <v>140</v>
      </c>
      <c r="N17" s="142">
        <v>148.047</v>
      </c>
      <c r="O17" s="36">
        <v>150.89</v>
      </c>
      <c r="P17" s="36">
        <v>152.526</v>
      </c>
      <c r="Q17" s="36">
        <v>157.4</v>
      </c>
      <c r="R17" s="142">
        <v>159.343</v>
      </c>
      <c r="S17" s="142">
        <v>171.38</v>
      </c>
      <c r="T17" s="142">
        <v>169.28</v>
      </c>
      <c r="U17" s="142">
        <v>174.097</v>
      </c>
    </row>
    <row r="18" spans="1:21" ht="15">
      <c r="A18" s="450" t="s">
        <v>691</v>
      </c>
      <c r="B18" s="38">
        <v>548.1</v>
      </c>
      <c r="C18" s="38">
        <v>516.2</v>
      </c>
      <c r="D18" s="38">
        <v>532</v>
      </c>
      <c r="E18" s="38">
        <v>578.6</v>
      </c>
      <c r="F18" s="38">
        <v>594.1</v>
      </c>
      <c r="G18" s="38">
        <v>619.3</v>
      </c>
      <c r="H18" s="38">
        <v>564.7</v>
      </c>
      <c r="I18" s="36">
        <v>556.483</v>
      </c>
      <c r="J18" s="36">
        <v>541.541</v>
      </c>
      <c r="K18" s="25">
        <v>554.7</v>
      </c>
      <c r="L18" s="75">
        <v>562.8</v>
      </c>
      <c r="M18" s="142">
        <v>618.4</v>
      </c>
      <c r="N18" s="142">
        <v>653.313</v>
      </c>
      <c r="O18" s="36">
        <v>649.768</v>
      </c>
      <c r="P18" s="36">
        <v>640.426</v>
      </c>
      <c r="Q18" s="36">
        <v>596.7</v>
      </c>
      <c r="R18" s="142">
        <v>554.568</v>
      </c>
      <c r="S18" s="142">
        <v>578.286</v>
      </c>
      <c r="T18" s="142">
        <v>564.476</v>
      </c>
      <c r="U18" s="142">
        <v>543.733</v>
      </c>
    </row>
    <row r="19" spans="1:21" ht="15">
      <c r="A19" s="450" t="s">
        <v>692</v>
      </c>
      <c r="B19" s="38">
        <v>90.3</v>
      </c>
      <c r="C19" s="38">
        <v>97.8</v>
      </c>
      <c r="D19" s="38">
        <v>107.9</v>
      </c>
      <c r="E19" s="38">
        <v>115.6</v>
      </c>
      <c r="F19" s="38">
        <v>120</v>
      </c>
      <c r="G19" s="38">
        <v>117.3</v>
      </c>
      <c r="H19" s="38">
        <v>111.3</v>
      </c>
      <c r="I19" s="36">
        <v>103.598</v>
      </c>
      <c r="J19" s="36">
        <v>100.271</v>
      </c>
      <c r="K19" s="25">
        <v>100.2</v>
      </c>
      <c r="L19" s="75">
        <v>103.9</v>
      </c>
      <c r="M19" s="142">
        <v>116.8</v>
      </c>
      <c r="N19" s="142">
        <v>122.943</v>
      </c>
      <c r="O19" s="36">
        <v>121.682</v>
      </c>
      <c r="P19" s="36">
        <v>132.897</v>
      </c>
      <c r="Q19" s="36">
        <v>130</v>
      </c>
      <c r="R19" s="142">
        <v>118.243</v>
      </c>
      <c r="S19" s="142">
        <v>125.048</v>
      </c>
      <c r="T19" s="142">
        <v>115.62</v>
      </c>
      <c r="U19" s="142">
        <v>117.1</v>
      </c>
    </row>
    <row r="20" spans="1:21" ht="15">
      <c r="A20" s="450" t="s">
        <v>375</v>
      </c>
      <c r="B20" s="38">
        <v>268.3</v>
      </c>
      <c r="C20" s="38">
        <v>248.7</v>
      </c>
      <c r="D20" s="38">
        <v>269.7</v>
      </c>
      <c r="E20" s="38">
        <v>279.5</v>
      </c>
      <c r="F20" s="38">
        <v>288.5</v>
      </c>
      <c r="G20" s="38">
        <v>313.8</v>
      </c>
      <c r="H20" s="38">
        <v>267.6</v>
      </c>
      <c r="I20" s="36">
        <v>256.952</v>
      </c>
      <c r="J20" s="36">
        <v>246.135</v>
      </c>
      <c r="K20" s="25">
        <v>245.4</v>
      </c>
      <c r="L20" s="75">
        <v>245.7</v>
      </c>
      <c r="M20" s="142">
        <v>250</v>
      </c>
      <c r="N20" s="142">
        <v>257.393</v>
      </c>
      <c r="O20" s="36">
        <v>245.883</v>
      </c>
      <c r="P20" s="36">
        <v>255.501</v>
      </c>
      <c r="Q20" s="36">
        <v>246.8</v>
      </c>
      <c r="R20" s="142">
        <v>222.253</v>
      </c>
      <c r="S20" s="142">
        <v>232.215</v>
      </c>
      <c r="T20" s="142">
        <v>233.194</v>
      </c>
      <c r="U20" s="142">
        <v>221.657</v>
      </c>
    </row>
    <row r="21" spans="1:21" ht="15">
      <c r="A21" s="450" t="s">
        <v>693</v>
      </c>
      <c r="B21" s="38">
        <v>32.8</v>
      </c>
      <c r="C21" s="38">
        <v>32.6</v>
      </c>
      <c r="D21" s="38">
        <v>35.4</v>
      </c>
      <c r="E21" s="38">
        <v>36.4</v>
      </c>
      <c r="F21" s="38">
        <v>37.7</v>
      </c>
      <c r="G21" s="38">
        <v>35.8</v>
      </c>
      <c r="H21" s="38">
        <v>34.9</v>
      </c>
      <c r="I21" s="36">
        <v>34.854</v>
      </c>
      <c r="J21" s="36">
        <v>36.253</v>
      </c>
      <c r="K21" s="25">
        <v>38.4</v>
      </c>
      <c r="L21" s="75">
        <v>39.5</v>
      </c>
      <c r="M21" s="142">
        <v>42.8</v>
      </c>
      <c r="N21" s="142">
        <v>44.583</v>
      </c>
      <c r="O21" s="36">
        <v>45.698</v>
      </c>
      <c r="P21" s="36">
        <v>44.124</v>
      </c>
      <c r="Q21" s="36">
        <v>46.4</v>
      </c>
      <c r="R21" s="142">
        <v>46.538</v>
      </c>
      <c r="S21" s="142">
        <v>52.974</v>
      </c>
      <c r="T21" s="142">
        <v>52.241</v>
      </c>
      <c r="U21" s="142">
        <v>50.335</v>
      </c>
    </row>
    <row r="22" spans="1:21" ht="15">
      <c r="A22" s="450" t="s">
        <v>694</v>
      </c>
      <c r="B22" s="38"/>
      <c r="C22" s="41"/>
      <c r="D22" s="38"/>
      <c r="E22" s="38"/>
      <c r="F22" s="38"/>
      <c r="G22" s="38"/>
      <c r="H22" s="38"/>
      <c r="J22" s="36"/>
      <c r="L22" s="75"/>
      <c r="M22" s="142"/>
      <c r="N22" s="142"/>
      <c r="O22" s="36"/>
      <c r="P22" s="36"/>
      <c r="Q22" s="36"/>
      <c r="R22" s="142"/>
      <c r="S22" s="142"/>
      <c r="T22" s="142"/>
      <c r="U22" s="142"/>
    </row>
    <row r="23" spans="1:21" ht="15">
      <c r="A23" s="414" t="s">
        <v>223</v>
      </c>
      <c r="B23" s="38">
        <v>50.2</v>
      </c>
      <c r="C23" s="38">
        <v>50.3</v>
      </c>
      <c r="D23" s="38">
        <v>44.6</v>
      </c>
      <c r="E23" s="38">
        <v>45.2</v>
      </c>
      <c r="F23" s="38">
        <v>45.4</v>
      </c>
      <c r="G23" s="38">
        <v>46.2</v>
      </c>
      <c r="H23" s="38">
        <v>46.1</v>
      </c>
      <c r="I23" s="36">
        <v>46.672</v>
      </c>
      <c r="J23" s="36">
        <v>45.717</v>
      </c>
      <c r="K23" s="25">
        <v>47.3</v>
      </c>
      <c r="L23" s="75">
        <v>47.4</v>
      </c>
      <c r="M23" s="142">
        <v>44.6</v>
      </c>
      <c r="N23" s="142">
        <v>45.939</v>
      </c>
      <c r="O23" s="36">
        <v>43.319</v>
      </c>
      <c r="P23" s="36">
        <v>45.296</v>
      </c>
      <c r="Q23" s="36">
        <v>46.5</v>
      </c>
      <c r="R23" s="142">
        <v>46.153</v>
      </c>
      <c r="S23" s="142">
        <v>57.043</v>
      </c>
      <c r="T23" s="142">
        <v>58.221</v>
      </c>
      <c r="U23" s="142">
        <v>61.621</v>
      </c>
    </row>
    <row r="24" spans="1:21" ht="15">
      <c r="A24" s="450" t="s">
        <v>695</v>
      </c>
      <c r="B24" s="38">
        <v>121</v>
      </c>
      <c r="C24" s="38">
        <v>129.7</v>
      </c>
      <c r="D24" s="38">
        <v>153.6</v>
      </c>
      <c r="E24" s="38">
        <v>183.5</v>
      </c>
      <c r="F24" s="38">
        <v>203.7</v>
      </c>
      <c r="G24" s="38">
        <v>186</v>
      </c>
      <c r="H24" s="38">
        <v>171.5</v>
      </c>
      <c r="I24" s="25">
        <v>170.2</v>
      </c>
      <c r="J24" s="36">
        <v>160.447</v>
      </c>
      <c r="K24" s="25">
        <v>149.6</v>
      </c>
      <c r="L24" s="75">
        <v>165.9</v>
      </c>
      <c r="M24" s="142">
        <v>168.1</v>
      </c>
      <c r="N24" s="142">
        <v>188.32</v>
      </c>
      <c r="O24" s="36">
        <v>189.544</v>
      </c>
      <c r="P24" s="36">
        <v>188.929</v>
      </c>
      <c r="Q24" s="36">
        <v>190.5</v>
      </c>
      <c r="R24" s="142">
        <v>187.507</v>
      </c>
      <c r="S24" s="142">
        <v>208.84</v>
      </c>
      <c r="T24" s="142">
        <v>212.417</v>
      </c>
      <c r="U24" s="142">
        <v>220.782</v>
      </c>
    </row>
    <row r="25" spans="1:21" ht="18">
      <c r="A25" s="450" t="s">
        <v>702</v>
      </c>
      <c r="B25" s="38">
        <v>1474.8</v>
      </c>
      <c r="C25" s="38">
        <v>1523.6</v>
      </c>
      <c r="D25" s="38">
        <v>1489.1</v>
      </c>
      <c r="E25" s="38">
        <v>1382.1</v>
      </c>
      <c r="F25" s="42" t="s">
        <v>152</v>
      </c>
      <c r="G25" s="42" t="s">
        <v>152</v>
      </c>
      <c r="H25" s="42" t="s">
        <v>152</v>
      </c>
      <c r="I25" s="42" t="s">
        <v>152</v>
      </c>
      <c r="J25" s="36">
        <v>127.856</v>
      </c>
      <c r="K25" s="197">
        <v>130</v>
      </c>
      <c r="L25" s="198">
        <v>142.7</v>
      </c>
      <c r="M25" s="142">
        <v>146</v>
      </c>
      <c r="N25" s="142">
        <v>152.047</v>
      </c>
      <c r="O25" s="36">
        <v>159.389</v>
      </c>
      <c r="P25" s="36">
        <v>161.732</v>
      </c>
      <c r="Q25" s="36">
        <v>160.3</v>
      </c>
      <c r="R25" s="142">
        <v>161.737</v>
      </c>
      <c r="S25" s="142">
        <v>185.818</v>
      </c>
      <c r="T25" s="142">
        <v>181.776</v>
      </c>
      <c r="U25" s="142">
        <v>182.269</v>
      </c>
    </row>
    <row r="26" spans="1:21" ht="15">
      <c r="A26" s="450" t="s">
        <v>697</v>
      </c>
      <c r="B26" s="38">
        <v>145.6</v>
      </c>
      <c r="C26" s="38">
        <v>147.1</v>
      </c>
      <c r="D26" s="38">
        <v>144.4</v>
      </c>
      <c r="E26" s="38">
        <v>144</v>
      </c>
      <c r="F26" s="38">
        <v>139</v>
      </c>
      <c r="G26" s="38">
        <v>129.3</v>
      </c>
      <c r="H26" s="38">
        <v>129.8</v>
      </c>
      <c r="I26" s="36">
        <v>128.828</v>
      </c>
      <c r="J26" s="36">
        <v>172.471</v>
      </c>
      <c r="K26" s="36">
        <v>180.2</v>
      </c>
      <c r="L26" s="142">
        <v>183</v>
      </c>
      <c r="M26" s="142">
        <v>179.9</v>
      </c>
      <c r="N26" s="142">
        <v>188.945</v>
      </c>
      <c r="O26" s="36">
        <v>183.217</v>
      </c>
      <c r="P26" s="36">
        <v>181.16</v>
      </c>
      <c r="Q26" s="36">
        <v>185.5</v>
      </c>
      <c r="R26" s="142">
        <v>182.833</v>
      </c>
      <c r="S26" s="142">
        <v>219.907</v>
      </c>
      <c r="T26" s="142">
        <v>227.676</v>
      </c>
      <c r="U26" s="142">
        <v>230.949</v>
      </c>
    </row>
    <row r="27" spans="1:21" ht="15">
      <c r="A27" s="450" t="s">
        <v>698</v>
      </c>
      <c r="B27" s="38">
        <v>141.3</v>
      </c>
      <c r="C27" s="38">
        <v>139.4</v>
      </c>
      <c r="D27" s="38">
        <v>138</v>
      </c>
      <c r="E27" s="38">
        <v>150</v>
      </c>
      <c r="F27" s="39">
        <v>171.1</v>
      </c>
      <c r="G27" s="38">
        <v>173</v>
      </c>
      <c r="H27" s="38">
        <v>162.1</v>
      </c>
      <c r="I27" s="36">
        <v>168.763</v>
      </c>
      <c r="J27" s="36">
        <v>45.958</v>
      </c>
      <c r="K27" s="25">
        <v>46.9</v>
      </c>
      <c r="L27" s="75">
        <v>46.3</v>
      </c>
      <c r="M27" s="142">
        <v>53.3</v>
      </c>
      <c r="N27" s="142">
        <v>54.546</v>
      </c>
      <c r="O27" s="36">
        <v>59</v>
      </c>
      <c r="P27" s="36">
        <v>64.043</v>
      </c>
      <c r="Q27" s="36">
        <v>62.4</v>
      </c>
      <c r="R27" s="142">
        <v>57.77</v>
      </c>
      <c r="S27" s="142">
        <v>64.73</v>
      </c>
      <c r="T27" s="142">
        <v>66.539</v>
      </c>
      <c r="U27" s="142">
        <v>57.924</v>
      </c>
    </row>
    <row r="28" spans="1:21" ht="15">
      <c r="A28" s="450" t="s">
        <v>699</v>
      </c>
      <c r="B28" s="38">
        <v>53.3</v>
      </c>
      <c r="C28" s="38">
        <v>50.657</v>
      </c>
      <c r="D28" s="38">
        <v>45.512</v>
      </c>
      <c r="E28" s="38">
        <v>47.213</v>
      </c>
      <c r="F28" s="39">
        <v>44.083</v>
      </c>
      <c r="G28" s="38">
        <v>43.476</v>
      </c>
      <c r="H28" s="38">
        <v>40.9</v>
      </c>
      <c r="I28" s="36">
        <v>42.308</v>
      </c>
      <c r="J28" s="36">
        <v>44.697</v>
      </c>
      <c r="K28" s="25">
        <v>45.5</v>
      </c>
      <c r="L28" s="75">
        <v>47.8</v>
      </c>
      <c r="M28" s="142">
        <v>51.7</v>
      </c>
      <c r="N28" s="142">
        <v>51.63</v>
      </c>
      <c r="O28" s="36">
        <v>56.48</v>
      </c>
      <c r="P28" s="36">
        <v>55.517</v>
      </c>
      <c r="Q28" s="36">
        <v>62.7</v>
      </c>
      <c r="R28" s="142">
        <v>64.536</v>
      </c>
      <c r="S28" s="142">
        <v>61.595</v>
      </c>
      <c r="T28" s="142">
        <v>58.043</v>
      </c>
      <c r="U28" s="142">
        <v>53.606</v>
      </c>
    </row>
    <row r="29" spans="1:21" ht="15">
      <c r="A29" s="450" t="s">
        <v>703</v>
      </c>
      <c r="B29" s="38">
        <v>38.034</v>
      </c>
      <c r="C29" s="38">
        <v>39.252</v>
      </c>
      <c r="D29" s="38">
        <v>37.242</v>
      </c>
      <c r="E29" s="38">
        <v>39.013</v>
      </c>
      <c r="F29" s="39">
        <v>42.376</v>
      </c>
      <c r="G29" s="38">
        <v>42.238</v>
      </c>
      <c r="H29" s="38">
        <v>41.3</v>
      </c>
      <c r="I29" s="36">
        <v>41.125</v>
      </c>
      <c r="J29" s="36">
        <v>40.098</v>
      </c>
      <c r="K29" s="25">
        <v>40.5</v>
      </c>
      <c r="L29" s="658">
        <v>0</v>
      </c>
      <c r="M29" s="658">
        <v>0</v>
      </c>
      <c r="N29" s="658">
        <v>0</v>
      </c>
      <c r="O29" s="658">
        <v>0</v>
      </c>
      <c r="P29" s="658">
        <v>0</v>
      </c>
      <c r="Q29" s="658">
        <v>0</v>
      </c>
      <c r="R29" s="658">
        <v>0</v>
      </c>
      <c r="S29" s="658">
        <v>0</v>
      </c>
      <c r="T29" s="658">
        <v>0</v>
      </c>
      <c r="U29" s="658">
        <v>0</v>
      </c>
    </row>
    <row r="30" spans="1:21" ht="18">
      <c r="A30" s="657" t="s">
        <v>704</v>
      </c>
      <c r="B30" s="39" t="s">
        <v>189</v>
      </c>
      <c r="C30" s="39" t="s">
        <v>189</v>
      </c>
      <c r="D30" s="39" t="s">
        <v>189</v>
      </c>
      <c r="E30" s="39" t="s">
        <v>189</v>
      </c>
      <c r="F30" s="39">
        <v>25.885</v>
      </c>
      <c r="G30" s="38">
        <v>30.582</v>
      </c>
      <c r="H30" s="38">
        <v>36.6</v>
      </c>
      <c r="I30" s="36">
        <v>39.307</v>
      </c>
      <c r="J30" s="658">
        <v>0</v>
      </c>
      <c r="K30" s="658">
        <v>0</v>
      </c>
      <c r="L30" s="75">
        <v>44.7</v>
      </c>
      <c r="M30" s="142">
        <v>48</v>
      </c>
      <c r="N30" s="142">
        <v>51.75</v>
      </c>
      <c r="O30" s="36">
        <v>52.243</v>
      </c>
      <c r="P30" s="36">
        <v>51.405</v>
      </c>
      <c r="Q30" s="36">
        <v>53.8</v>
      </c>
      <c r="R30" s="142">
        <v>53.941</v>
      </c>
      <c r="S30" s="142">
        <v>58.244</v>
      </c>
      <c r="T30" s="142">
        <v>58.02</v>
      </c>
      <c r="U30" s="142">
        <v>58.092</v>
      </c>
    </row>
    <row r="31" spans="1:21" ht="15">
      <c r="A31" s="657" t="s">
        <v>683</v>
      </c>
      <c r="B31" s="39"/>
      <c r="C31" s="39"/>
      <c r="D31" s="39"/>
      <c r="E31" s="39"/>
      <c r="F31" s="39"/>
      <c r="G31" s="38"/>
      <c r="H31" s="38"/>
      <c r="I31" s="36"/>
      <c r="J31" s="42">
        <v>0</v>
      </c>
      <c r="K31" s="658">
        <v>0</v>
      </c>
      <c r="L31" s="658">
        <v>0</v>
      </c>
      <c r="M31" s="142">
        <v>27.235</v>
      </c>
      <c r="N31" s="142">
        <v>38.707</v>
      </c>
      <c r="O31" s="36">
        <v>37.095</v>
      </c>
      <c r="P31" s="36">
        <v>37.336</v>
      </c>
      <c r="Q31" s="36">
        <v>38.693</v>
      </c>
      <c r="R31" s="142">
        <v>39.721</v>
      </c>
      <c r="S31" s="142">
        <v>48.788</v>
      </c>
      <c r="T31" s="142">
        <v>46.096</v>
      </c>
      <c r="U31" s="142">
        <v>48.438</v>
      </c>
    </row>
    <row r="32" spans="1:21" ht="15">
      <c r="A32" s="657" t="s">
        <v>684</v>
      </c>
      <c r="B32" s="39"/>
      <c r="C32" s="39"/>
      <c r="D32" s="39"/>
      <c r="E32" s="39"/>
      <c r="F32" s="39"/>
      <c r="G32" s="38"/>
      <c r="H32" s="38"/>
      <c r="I32" s="36"/>
      <c r="J32" s="42">
        <v>14.341</v>
      </c>
      <c r="K32" s="42">
        <v>13.975</v>
      </c>
      <c r="L32" s="142">
        <v>18.286</v>
      </c>
      <c r="M32" s="658">
        <v>13.872</v>
      </c>
      <c r="N32" s="142">
        <v>10.586</v>
      </c>
      <c r="O32" s="142">
        <v>10.612</v>
      </c>
      <c r="P32" s="36">
        <v>11.134</v>
      </c>
      <c r="Q32" s="36">
        <v>8.685</v>
      </c>
      <c r="R32" s="36">
        <v>9.932</v>
      </c>
      <c r="S32" s="142">
        <v>10.102</v>
      </c>
      <c r="T32" s="142">
        <v>8.11</v>
      </c>
      <c r="U32" s="142">
        <v>11.033</v>
      </c>
    </row>
    <row r="33" spans="1:21" ht="15">
      <c r="A33" s="657" t="s">
        <v>685</v>
      </c>
      <c r="B33" s="39"/>
      <c r="C33" s="39"/>
      <c r="D33" s="39"/>
      <c r="E33" s="39"/>
      <c r="F33" s="39"/>
      <c r="G33" s="38"/>
      <c r="H33" s="38"/>
      <c r="I33" s="36"/>
      <c r="J33" s="42">
        <v>12.65</v>
      </c>
      <c r="K33" s="42">
        <v>15.38</v>
      </c>
      <c r="L33" s="142">
        <v>17.187</v>
      </c>
      <c r="M33" s="142">
        <v>18.738</v>
      </c>
      <c r="N33" s="142">
        <v>19.441</v>
      </c>
      <c r="O33" s="36">
        <v>19.984</v>
      </c>
      <c r="P33" s="36">
        <v>21.444</v>
      </c>
      <c r="Q33" s="36">
        <v>23.411</v>
      </c>
      <c r="R33" s="142">
        <v>23.9</v>
      </c>
      <c r="S33" s="142">
        <v>26.099</v>
      </c>
      <c r="T33" s="142">
        <v>26.697</v>
      </c>
      <c r="U33" s="142">
        <v>25.574</v>
      </c>
    </row>
    <row r="34" spans="1:21" ht="15">
      <c r="A34" s="657" t="s">
        <v>686</v>
      </c>
      <c r="B34" s="39"/>
      <c r="C34" s="39"/>
      <c r="D34" s="39"/>
      <c r="E34" s="39"/>
      <c r="F34" s="39"/>
      <c r="G34" s="38"/>
      <c r="H34" s="38"/>
      <c r="I34" s="36"/>
      <c r="J34" s="42">
        <v>0</v>
      </c>
      <c r="K34" s="42">
        <v>0</v>
      </c>
      <c r="L34" s="142">
        <v>2.105</v>
      </c>
      <c r="M34" s="142">
        <v>6.361</v>
      </c>
      <c r="N34" s="142">
        <v>7.227</v>
      </c>
      <c r="O34" s="36">
        <v>7.668</v>
      </c>
      <c r="P34" s="36">
        <v>9.494</v>
      </c>
      <c r="Q34" s="36">
        <v>9.419</v>
      </c>
      <c r="R34" s="142">
        <v>10.073</v>
      </c>
      <c r="S34" s="142">
        <v>11.682</v>
      </c>
      <c r="T34" s="142">
        <v>8.625</v>
      </c>
      <c r="U34" s="142">
        <v>10.63</v>
      </c>
    </row>
    <row r="35" spans="1:21" ht="15">
      <c r="A35" s="657" t="s">
        <v>687</v>
      </c>
      <c r="B35" s="39"/>
      <c r="C35" s="39"/>
      <c r="D35" s="39"/>
      <c r="E35" s="39"/>
      <c r="F35" s="39"/>
      <c r="G35" s="38"/>
      <c r="H35" s="38"/>
      <c r="I35" s="36"/>
      <c r="J35" s="42">
        <v>16.144</v>
      </c>
      <c r="K35" s="42">
        <v>14.04</v>
      </c>
      <c r="L35" s="142">
        <v>15.718</v>
      </c>
      <c r="M35" s="142">
        <v>16.971</v>
      </c>
      <c r="N35" s="142">
        <v>15.313</v>
      </c>
      <c r="O35" s="36">
        <v>15.512</v>
      </c>
      <c r="P35" s="36">
        <v>16.047</v>
      </c>
      <c r="Q35" s="36">
        <v>16.275</v>
      </c>
      <c r="R35" s="142">
        <v>15.643</v>
      </c>
      <c r="S35" s="142">
        <v>16.239</v>
      </c>
      <c r="T35" s="142">
        <v>16.368</v>
      </c>
      <c r="U35" s="142">
        <v>14.685</v>
      </c>
    </row>
    <row r="36" spans="1:21" ht="15">
      <c r="A36" s="657" t="s">
        <v>688</v>
      </c>
      <c r="B36" s="39"/>
      <c r="C36" s="39"/>
      <c r="D36" s="39"/>
      <c r="E36" s="39"/>
      <c r="F36" s="39"/>
      <c r="G36" s="38"/>
      <c r="H36" s="38"/>
      <c r="I36" s="36"/>
      <c r="J36" s="42">
        <v>12.464</v>
      </c>
      <c r="K36" s="42">
        <v>11.424</v>
      </c>
      <c r="L36" s="142">
        <v>11.832</v>
      </c>
      <c r="M36" s="142">
        <v>12.374</v>
      </c>
      <c r="N36" s="142">
        <v>12.53</v>
      </c>
      <c r="O36" s="36">
        <v>13.093</v>
      </c>
      <c r="P36" s="36">
        <v>12.399</v>
      </c>
      <c r="Q36" s="36">
        <v>13.653</v>
      </c>
      <c r="R36" s="142">
        <v>15.247</v>
      </c>
      <c r="S36" s="142">
        <v>18.221</v>
      </c>
      <c r="T36" s="142">
        <v>19.982</v>
      </c>
      <c r="U36" s="142">
        <v>20.109</v>
      </c>
    </row>
    <row r="37" spans="1:22" ht="15">
      <c r="A37" s="450" t="s">
        <v>689</v>
      </c>
      <c r="B37" s="38"/>
      <c r="C37" s="38"/>
      <c r="D37" s="38"/>
      <c r="E37" s="38"/>
      <c r="F37" s="38"/>
      <c r="G37" s="38"/>
      <c r="H37" s="38"/>
      <c r="I37" s="33"/>
      <c r="J37" s="36">
        <v>23.312</v>
      </c>
      <c r="K37" s="25">
        <v>25.978</v>
      </c>
      <c r="L37" s="142">
        <v>28.299</v>
      </c>
      <c r="M37" s="142">
        <v>36.611</v>
      </c>
      <c r="N37" s="142">
        <v>43.483</v>
      </c>
      <c r="O37" s="36">
        <v>41.193</v>
      </c>
      <c r="P37" s="36">
        <v>40.609</v>
      </c>
      <c r="Q37" s="36">
        <v>40.316</v>
      </c>
      <c r="R37" s="142">
        <v>38.066</v>
      </c>
      <c r="S37" s="142">
        <v>38.277</v>
      </c>
      <c r="T37" s="142">
        <v>34.983</v>
      </c>
      <c r="U37" s="142">
        <v>34.279</v>
      </c>
      <c r="V37" s="36"/>
    </row>
    <row r="38" spans="1:21" ht="15">
      <c r="A38" s="33" t="s">
        <v>227</v>
      </c>
      <c r="B38" s="38">
        <v>3177</v>
      </c>
      <c r="C38" s="38">
        <v>3185.4</v>
      </c>
      <c r="D38" s="38">
        <v>3213.6</v>
      </c>
      <c r="E38" s="38">
        <v>3220.9</v>
      </c>
      <c r="F38" s="38">
        <v>1981.1</v>
      </c>
      <c r="G38" s="38">
        <v>1993.7</v>
      </c>
      <c r="H38" s="38">
        <v>1827.8</v>
      </c>
      <c r="I38" s="38">
        <v>1785.6</v>
      </c>
      <c r="J38" s="77">
        <v>1763.532</v>
      </c>
      <c r="K38" s="77">
        <v>1779.9</v>
      </c>
      <c r="L38" s="128">
        <f aca="true" t="shared" si="1" ref="L38:U38">SUM(L17:L37)</f>
        <v>1849.1270000000002</v>
      </c>
      <c r="M38" s="218">
        <f t="shared" si="1"/>
        <v>1991.762</v>
      </c>
      <c r="N38" s="218">
        <f t="shared" si="1"/>
        <v>2106.743000000001</v>
      </c>
      <c r="O38" s="128">
        <f t="shared" si="1"/>
        <v>2102.2700000000004</v>
      </c>
      <c r="P38" s="128">
        <f t="shared" si="1"/>
        <v>2122.019</v>
      </c>
      <c r="Q38" s="128">
        <f t="shared" si="1"/>
        <v>2089.452</v>
      </c>
      <c r="R38" s="128">
        <f t="shared" si="1"/>
        <v>2008.0040000000006</v>
      </c>
      <c r="S38" s="128">
        <f t="shared" si="1"/>
        <v>2185.4879999999994</v>
      </c>
      <c r="T38" s="128">
        <f t="shared" si="1"/>
        <v>2158.364</v>
      </c>
      <c r="U38" s="128">
        <f t="shared" si="1"/>
        <v>2136.913</v>
      </c>
    </row>
    <row r="39" spans="1:15" ht="7.5" customHeight="1">
      <c r="A39" s="33"/>
      <c r="B39" s="40" t="s">
        <v>292</v>
      </c>
      <c r="C39" s="40" t="s">
        <v>292</v>
      </c>
      <c r="D39" s="40" t="s">
        <v>292</v>
      </c>
      <c r="E39" s="40" t="s">
        <v>292</v>
      </c>
      <c r="F39" s="40" t="s">
        <v>292</v>
      </c>
      <c r="G39" s="40" t="s">
        <v>292</v>
      </c>
      <c r="H39" s="40" t="s">
        <v>292</v>
      </c>
      <c r="K39" s="41"/>
      <c r="M39" s="75"/>
      <c r="N39" s="142"/>
      <c r="O39" s="142"/>
    </row>
    <row r="40" spans="1:21" ht="15.75">
      <c r="A40" s="293" t="s">
        <v>141</v>
      </c>
      <c r="B40" s="418">
        <v>6213.7</v>
      </c>
      <c r="C40" s="418">
        <v>6201.4</v>
      </c>
      <c r="D40" s="418">
        <v>6194.1</v>
      </c>
      <c r="E40" s="418">
        <v>6377.2</v>
      </c>
      <c r="F40" s="418">
        <v>5077.3</v>
      </c>
      <c r="G40" s="418">
        <v>5109.8</v>
      </c>
      <c r="H40" s="418">
        <v>4817.6</v>
      </c>
      <c r="I40" s="418">
        <v>4803</v>
      </c>
      <c r="J40" s="656">
        <v>4776.7</v>
      </c>
      <c r="K40" s="656">
        <v>4810.8</v>
      </c>
      <c r="L40" s="419">
        <f aca="true" t="shared" si="2" ref="L40:U40">SUM(L14,L38)</f>
        <v>4873.727</v>
      </c>
      <c r="M40" s="419">
        <f t="shared" si="2"/>
        <v>5162.962</v>
      </c>
      <c r="N40" s="420">
        <f t="shared" si="2"/>
        <v>5311.0560000000005</v>
      </c>
      <c r="O40" s="420">
        <f t="shared" si="2"/>
        <v>5358.247</v>
      </c>
      <c r="P40" s="419">
        <f t="shared" si="2"/>
        <v>5389.851000000001</v>
      </c>
      <c r="Q40" s="419">
        <f t="shared" si="2"/>
        <v>5388.752</v>
      </c>
      <c r="R40" s="419">
        <f t="shared" si="2"/>
        <v>5084.068</v>
      </c>
      <c r="S40" s="419">
        <f t="shared" si="2"/>
        <v>5295.812</v>
      </c>
      <c r="T40" s="419">
        <f t="shared" si="2"/>
        <v>5235.78</v>
      </c>
      <c r="U40" s="419">
        <f t="shared" si="2"/>
        <v>4984.378000000001</v>
      </c>
    </row>
    <row r="41" spans="1:19" ht="16.5" customHeight="1">
      <c r="A41" s="37"/>
      <c r="B41" s="18"/>
      <c r="C41" s="18"/>
      <c r="D41" s="18"/>
      <c r="E41" s="18"/>
      <c r="F41" s="18"/>
      <c r="G41" s="18"/>
      <c r="H41" s="18"/>
      <c r="I41"/>
      <c r="J41" s="38"/>
      <c r="K41" s="38"/>
      <c r="L41" s="38"/>
      <c r="M41" s="38"/>
      <c r="R41" s="36"/>
      <c r="S41" s="36"/>
    </row>
    <row r="42" spans="1:21" ht="9" customHeight="1">
      <c r="A42" s="33"/>
      <c r="B42" s="1"/>
      <c r="C42" s="1"/>
      <c r="D42" s="1"/>
      <c r="E42" s="4"/>
      <c r="F42" s="1"/>
      <c r="G42" s="1"/>
      <c r="H42" s="1"/>
      <c r="I42" s="1"/>
      <c r="J42" s="34"/>
      <c r="K42" s="33"/>
      <c r="L42" s="33"/>
      <c r="M42" s="33"/>
      <c r="N42" s="33"/>
      <c r="O42" s="33"/>
      <c r="P42" s="33"/>
      <c r="Q42" s="33"/>
      <c r="R42" s="35"/>
      <c r="S42" s="35"/>
      <c r="T42" s="35"/>
      <c r="U42" s="269"/>
    </row>
    <row r="43" spans="1:21" ht="18" customHeight="1">
      <c r="A43" s="416" t="s">
        <v>211</v>
      </c>
      <c r="B43" s="275"/>
      <c r="C43" s="275"/>
      <c r="D43" s="621"/>
      <c r="E43" s="560"/>
      <c r="F43" s="621"/>
      <c r="G43" s="621"/>
      <c r="H43" s="621"/>
      <c r="I43" s="275"/>
      <c r="J43" s="703" t="s">
        <v>228</v>
      </c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275"/>
    </row>
    <row r="44" spans="1:21" ht="16.5" customHeight="1">
      <c r="A44" s="269"/>
      <c r="B44" s="452">
        <v>1992</v>
      </c>
      <c r="C44" s="452">
        <v>1993</v>
      </c>
      <c r="D44" s="452">
        <v>1994</v>
      </c>
      <c r="E44" s="452">
        <v>1995</v>
      </c>
      <c r="F44" s="452">
        <v>1996</v>
      </c>
      <c r="G44" s="452">
        <v>1997</v>
      </c>
      <c r="H44" s="452">
        <v>1998</v>
      </c>
      <c r="I44" s="452">
        <v>1999</v>
      </c>
      <c r="J44" s="417">
        <v>2000</v>
      </c>
      <c r="K44" s="417">
        <v>2001</v>
      </c>
      <c r="L44" s="417">
        <v>2002</v>
      </c>
      <c r="M44" s="421">
        <v>2003</v>
      </c>
      <c r="N44" s="421">
        <v>2004</v>
      </c>
      <c r="O44" s="421">
        <v>2005</v>
      </c>
      <c r="P44" s="421">
        <v>2006</v>
      </c>
      <c r="Q44" s="421">
        <v>2007</v>
      </c>
      <c r="R44" s="421">
        <v>2008</v>
      </c>
      <c r="S44" s="421">
        <v>2009</v>
      </c>
      <c r="T44" s="421">
        <v>2010</v>
      </c>
      <c r="U44" s="421">
        <v>2011</v>
      </c>
    </row>
    <row r="45" spans="1:21" ht="15.75">
      <c r="A45" s="37" t="s">
        <v>143</v>
      </c>
      <c r="B45" s="13"/>
      <c r="C45" s="13"/>
      <c r="D45" s="13"/>
      <c r="E45" s="10"/>
      <c r="F45" s="617"/>
      <c r="G45" s="10"/>
      <c r="H45" s="16"/>
      <c r="I45"/>
      <c r="J45" s="181"/>
      <c r="L45" s="181"/>
      <c r="M45" s="181"/>
      <c r="N45" s="181"/>
      <c r="O45" s="415"/>
      <c r="Q45" s="199"/>
      <c r="R45" s="199"/>
      <c r="S45" s="199"/>
      <c r="T45" s="199"/>
      <c r="U45" s="199" t="s">
        <v>174</v>
      </c>
    </row>
    <row r="46" spans="1:21" ht="18">
      <c r="A46" s="450" t="s">
        <v>705</v>
      </c>
      <c r="B46" s="39">
        <v>123.4</v>
      </c>
      <c r="C46" s="39">
        <v>121.7</v>
      </c>
      <c r="D46" s="39">
        <v>119.8</v>
      </c>
      <c r="E46" s="39">
        <v>115.4</v>
      </c>
      <c r="F46" s="39">
        <v>114.8</v>
      </c>
      <c r="G46" s="39">
        <v>107.7</v>
      </c>
      <c r="H46" s="39">
        <v>103.4</v>
      </c>
      <c r="I46" s="39">
        <v>102.485</v>
      </c>
      <c r="J46" s="36">
        <v>107.107</v>
      </c>
      <c r="K46" s="36">
        <v>110</v>
      </c>
      <c r="L46" s="142">
        <v>101.3</v>
      </c>
      <c r="M46" s="142">
        <v>70.5</v>
      </c>
      <c r="N46" s="142">
        <v>90.219</v>
      </c>
      <c r="O46" s="36">
        <v>84.864</v>
      </c>
      <c r="P46" s="36">
        <v>77.816</v>
      </c>
      <c r="Q46" s="36">
        <v>80.1</v>
      </c>
      <c r="R46" s="142">
        <v>71.754</v>
      </c>
      <c r="S46" s="142">
        <v>70.717</v>
      </c>
      <c r="T46" s="142">
        <v>61.4</v>
      </c>
      <c r="U46" s="142">
        <v>25.849</v>
      </c>
    </row>
    <row r="47" spans="1:21" ht="15">
      <c r="A47" s="450" t="s">
        <v>706</v>
      </c>
      <c r="B47" s="39">
        <v>119.2</v>
      </c>
      <c r="C47" s="39">
        <v>115.8</v>
      </c>
      <c r="D47" s="39">
        <v>117</v>
      </c>
      <c r="E47" s="39">
        <v>121.1</v>
      </c>
      <c r="F47" s="39">
        <v>118.6</v>
      </c>
      <c r="G47" s="39">
        <v>115.1</v>
      </c>
      <c r="H47" s="39">
        <v>116.9</v>
      </c>
      <c r="I47" s="39">
        <v>116.719</v>
      </c>
      <c r="J47" s="36">
        <v>126.102</v>
      </c>
      <c r="K47" s="36">
        <v>135.7</v>
      </c>
      <c r="L47" s="142">
        <v>141.3</v>
      </c>
      <c r="M47" s="142">
        <v>147.7</v>
      </c>
      <c r="N47" s="142">
        <v>152.099</v>
      </c>
      <c r="O47" s="36">
        <v>152.46</v>
      </c>
      <c r="P47" s="36">
        <v>158.181</v>
      </c>
      <c r="Q47" s="36">
        <v>164.2</v>
      </c>
      <c r="R47" s="142">
        <v>159.855</v>
      </c>
      <c r="S47" s="142">
        <v>162.727</v>
      </c>
      <c r="T47" s="142">
        <v>155.7</v>
      </c>
      <c r="U47" s="142">
        <v>152.859</v>
      </c>
    </row>
    <row r="48" spans="1:21" ht="15">
      <c r="A48" s="450" t="s">
        <v>707</v>
      </c>
      <c r="B48" s="39">
        <v>75.4</v>
      </c>
      <c r="C48" s="39">
        <v>77.8</v>
      </c>
      <c r="D48" s="39">
        <v>76.9</v>
      </c>
      <c r="E48" s="39">
        <v>84.5</v>
      </c>
      <c r="F48" s="39">
        <v>85</v>
      </c>
      <c r="G48" s="39">
        <v>89.5</v>
      </c>
      <c r="H48" s="39">
        <v>85</v>
      </c>
      <c r="I48" s="39">
        <v>84.77</v>
      </c>
      <c r="J48" s="36">
        <v>88.839</v>
      </c>
      <c r="K48" s="36">
        <v>95.1</v>
      </c>
      <c r="L48" s="142">
        <v>90.8</v>
      </c>
      <c r="M48" s="142">
        <v>93.3</v>
      </c>
      <c r="N48" s="142">
        <v>92.693</v>
      </c>
      <c r="O48" s="36">
        <v>93.507</v>
      </c>
      <c r="P48" s="36">
        <v>89.557</v>
      </c>
      <c r="Q48" s="36">
        <v>90.2</v>
      </c>
      <c r="R48" s="142">
        <v>88.225</v>
      </c>
      <c r="S48" s="142">
        <v>87.34</v>
      </c>
      <c r="T48" s="142">
        <v>84.6</v>
      </c>
      <c r="U48" s="142">
        <v>80.924</v>
      </c>
    </row>
    <row r="49" spans="1:21" ht="15">
      <c r="A49" s="450" t="s">
        <v>708</v>
      </c>
      <c r="B49" s="39" t="s">
        <v>189</v>
      </c>
      <c r="C49" s="39" t="s">
        <v>189</v>
      </c>
      <c r="D49" s="620">
        <v>4.6</v>
      </c>
      <c r="E49" s="39">
        <v>8.931</v>
      </c>
      <c r="F49" s="39">
        <v>12.532</v>
      </c>
      <c r="G49" s="39">
        <v>12.09</v>
      </c>
      <c r="H49" s="39">
        <v>14.9</v>
      </c>
      <c r="I49" s="39">
        <v>14.789</v>
      </c>
      <c r="J49" s="36">
        <v>14.965</v>
      </c>
      <c r="K49" s="36">
        <v>15.6</v>
      </c>
      <c r="L49" s="142">
        <v>15.5</v>
      </c>
      <c r="M49" s="142">
        <v>17.5</v>
      </c>
      <c r="N49" s="142">
        <v>18.642</v>
      </c>
      <c r="O49" s="36">
        <v>18.818</v>
      </c>
      <c r="P49" s="36">
        <v>19.134</v>
      </c>
      <c r="Q49" s="36">
        <v>20.9</v>
      </c>
      <c r="R49" s="142">
        <v>20.992</v>
      </c>
      <c r="S49" s="142">
        <v>21.641</v>
      </c>
      <c r="T49" s="142">
        <v>21.2</v>
      </c>
      <c r="U49" s="142">
        <v>19.676</v>
      </c>
    </row>
    <row r="50" spans="1:21" ht="15">
      <c r="A50" s="450" t="s">
        <v>709</v>
      </c>
      <c r="B50" s="39">
        <v>94.7</v>
      </c>
      <c r="C50" s="39">
        <v>92.1</v>
      </c>
      <c r="D50" s="39">
        <v>93.4</v>
      </c>
      <c r="E50" s="39">
        <v>97.1</v>
      </c>
      <c r="F50" s="39">
        <v>100</v>
      </c>
      <c r="G50" s="39">
        <v>99.6</v>
      </c>
      <c r="H50" s="39">
        <v>98.4</v>
      </c>
      <c r="I50" s="39">
        <v>98.415</v>
      </c>
      <c r="J50" s="36">
        <v>100.829</v>
      </c>
      <c r="K50" s="36">
        <v>107.7</v>
      </c>
      <c r="L50" s="142">
        <v>117.9</v>
      </c>
      <c r="M50" s="142">
        <v>121.9</v>
      </c>
      <c r="N50" s="142">
        <v>125.819</v>
      </c>
      <c r="O50" s="36">
        <v>130.959</v>
      </c>
      <c r="P50" s="36">
        <v>131.96</v>
      </c>
      <c r="Q50" s="36">
        <v>137.4</v>
      </c>
      <c r="R50" s="142">
        <v>131.085</v>
      </c>
      <c r="S50" s="142">
        <v>136.013</v>
      </c>
      <c r="T50" s="142">
        <v>134.2</v>
      </c>
      <c r="U50" s="142">
        <v>127.854</v>
      </c>
    </row>
    <row r="51" spans="1:21" ht="18">
      <c r="A51" s="450" t="s">
        <v>710</v>
      </c>
      <c r="B51" s="39">
        <v>19.7</v>
      </c>
      <c r="C51" s="39">
        <v>18.1</v>
      </c>
      <c r="D51" s="39">
        <v>17</v>
      </c>
      <c r="E51" s="39">
        <v>18.4</v>
      </c>
      <c r="F51" s="39">
        <v>18.9</v>
      </c>
      <c r="G51" s="39">
        <v>17.5</v>
      </c>
      <c r="H51" s="39">
        <v>16</v>
      </c>
      <c r="I51" s="39">
        <v>15.433</v>
      </c>
      <c r="J51" s="36">
        <v>14.557</v>
      </c>
      <c r="K51" s="36">
        <v>16.2</v>
      </c>
      <c r="L51" s="142">
        <v>15.9</v>
      </c>
      <c r="M51" s="142">
        <v>16.8</v>
      </c>
      <c r="N51" s="142">
        <v>16.834</v>
      </c>
      <c r="O51" s="36">
        <v>17.65</v>
      </c>
      <c r="P51" s="36">
        <v>17.329</v>
      </c>
      <c r="Q51" s="36">
        <v>17.9</v>
      </c>
      <c r="R51" s="142">
        <v>16.672</v>
      </c>
      <c r="S51" s="142">
        <v>17.636</v>
      </c>
      <c r="T51" s="142">
        <v>16.6</v>
      </c>
      <c r="U51" s="142">
        <v>14.692</v>
      </c>
    </row>
    <row r="52" spans="1:21" ht="15">
      <c r="A52" s="450" t="s">
        <v>711</v>
      </c>
      <c r="B52" s="39">
        <v>111.5</v>
      </c>
      <c r="C52" s="39">
        <v>111</v>
      </c>
      <c r="D52" s="39">
        <v>105</v>
      </c>
      <c r="E52" s="39">
        <v>110.9</v>
      </c>
      <c r="F52" s="39">
        <v>111.4</v>
      </c>
      <c r="G52" s="39">
        <v>109.2</v>
      </c>
      <c r="H52" s="39">
        <v>111</v>
      </c>
      <c r="I52" s="39">
        <v>112.496</v>
      </c>
      <c r="J52" s="36">
        <v>112.721</v>
      </c>
      <c r="K52" s="36">
        <v>120.3</v>
      </c>
      <c r="L52" s="142">
        <v>125.9</v>
      </c>
      <c r="M52" s="142">
        <v>132.3</v>
      </c>
      <c r="N52" s="142">
        <v>132.378</v>
      </c>
      <c r="O52" s="36">
        <v>135.901</v>
      </c>
      <c r="P52" s="36">
        <v>139.42</v>
      </c>
      <c r="Q52" s="36">
        <v>151.3</v>
      </c>
      <c r="R52" s="142">
        <v>143.087</v>
      </c>
      <c r="S52" s="142">
        <v>139.817</v>
      </c>
      <c r="T52" s="142">
        <v>138.7</v>
      </c>
      <c r="U52" s="142">
        <v>136.028</v>
      </c>
    </row>
    <row r="53" spans="1:21" ht="18">
      <c r="A53" s="450" t="s">
        <v>712</v>
      </c>
      <c r="B53" s="39" t="s">
        <v>152</v>
      </c>
      <c r="C53" s="39" t="s">
        <v>152</v>
      </c>
      <c r="D53" s="39">
        <v>0.6</v>
      </c>
      <c r="E53" s="39">
        <v>1.1690000000000005</v>
      </c>
      <c r="F53" s="39">
        <v>2.1679999999999993</v>
      </c>
      <c r="G53" s="39">
        <v>2.11</v>
      </c>
      <c r="H53" s="39">
        <v>1.7</v>
      </c>
      <c r="I53" s="39">
        <v>2.1</v>
      </c>
      <c r="J53" s="36">
        <v>2.66599999999994</v>
      </c>
      <c r="K53" s="36">
        <v>2.489</v>
      </c>
      <c r="L53" s="142">
        <v>2.6</v>
      </c>
      <c r="M53" s="142">
        <v>2.8</v>
      </c>
      <c r="N53" s="142">
        <v>2.597</v>
      </c>
      <c r="O53" s="36">
        <v>2.558</v>
      </c>
      <c r="P53" s="36">
        <v>2.618</v>
      </c>
      <c r="Q53" s="36">
        <v>2.6</v>
      </c>
      <c r="R53" s="658">
        <v>0</v>
      </c>
      <c r="S53" s="658">
        <v>0</v>
      </c>
      <c r="T53" s="658">
        <v>0</v>
      </c>
      <c r="U53" s="658">
        <v>0</v>
      </c>
    </row>
    <row r="54" spans="1:21" ht="15">
      <c r="A54" s="450" t="s">
        <v>713</v>
      </c>
      <c r="B54" s="39">
        <v>543.9</v>
      </c>
      <c r="C54" s="39">
        <v>536.5</v>
      </c>
      <c r="D54" s="39">
        <v>534</v>
      </c>
      <c r="E54" s="39">
        <v>557.5</v>
      </c>
      <c r="F54" s="39">
        <v>563.3</v>
      </c>
      <c r="G54" s="39">
        <v>552.8</v>
      </c>
      <c r="H54" s="39">
        <v>547.3</v>
      </c>
      <c r="I54" s="39">
        <v>547.2</v>
      </c>
      <c r="J54" s="36">
        <v>567.786</v>
      </c>
      <c r="K54" s="36">
        <v>602.975</v>
      </c>
      <c r="L54" s="219">
        <f aca="true" t="shared" si="3" ref="L54:T54">SUM(L46:L53)</f>
        <v>611.2</v>
      </c>
      <c r="M54" s="219">
        <f t="shared" si="3"/>
        <v>602.8</v>
      </c>
      <c r="N54" s="219">
        <f t="shared" si="3"/>
        <v>631.281</v>
      </c>
      <c r="O54" s="219">
        <f t="shared" si="3"/>
        <v>636.717</v>
      </c>
      <c r="P54" s="219">
        <f t="shared" si="3"/>
        <v>636.0150000000001</v>
      </c>
      <c r="Q54" s="219">
        <f t="shared" si="3"/>
        <v>664.6</v>
      </c>
      <c r="R54" s="219">
        <f t="shared" si="3"/>
        <v>631.67</v>
      </c>
      <c r="S54" s="219">
        <f t="shared" si="3"/>
        <v>635.8910000000001</v>
      </c>
      <c r="T54" s="219">
        <f t="shared" si="3"/>
        <v>612.4</v>
      </c>
      <c r="U54" s="219">
        <v>557.882</v>
      </c>
    </row>
    <row r="55" spans="1:21" ht="7.5" customHeight="1">
      <c r="A55" s="33"/>
      <c r="B55" s="40" t="s">
        <v>292</v>
      </c>
      <c r="C55" s="40" t="s">
        <v>292</v>
      </c>
      <c r="D55" s="40" t="s">
        <v>292</v>
      </c>
      <c r="E55" s="40" t="s">
        <v>292</v>
      </c>
      <c r="F55" s="40" t="s">
        <v>292</v>
      </c>
      <c r="G55" s="40" t="s">
        <v>292</v>
      </c>
      <c r="H55" s="40" t="s">
        <v>292</v>
      </c>
      <c r="I55"/>
      <c r="J55" s="36"/>
      <c r="M55" s="36"/>
      <c r="N55" s="36"/>
      <c r="R55" s="75"/>
      <c r="S55" s="75"/>
      <c r="T55" s="75"/>
      <c r="U55" s="75"/>
    </row>
    <row r="56" spans="1:21" ht="15.75">
      <c r="A56" s="37" t="s">
        <v>160</v>
      </c>
      <c r="B56" s="39"/>
      <c r="C56" s="39"/>
      <c r="D56" s="39"/>
      <c r="E56" s="39"/>
      <c r="F56" s="39"/>
      <c r="G56" s="39"/>
      <c r="H56" s="39"/>
      <c r="I56" s="39"/>
      <c r="J56" s="36"/>
      <c r="M56" s="36"/>
      <c r="N56" s="36"/>
      <c r="R56" s="75"/>
      <c r="S56" s="75"/>
      <c r="T56" s="75"/>
      <c r="U56" s="75"/>
    </row>
    <row r="57" spans="1:21" ht="15">
      <c r="A57" s="450" t="s">
        <v>690</v>
      </c>
      <c r="B57" s="39">
        <v>32.8</v>
      </c>
      <c r="C57" s="39">
        <v>32.2</v>
      </c>
      <c r="D57" s="39">
        <v>34.1</v>
      </c>
      <c r="E57" s="39">
        <v>34.6</v>
      </c>
      <c r="F57" s="39">
        <v>35.7</v>
      </c>
      <c r="G57" s="39">
        <v>36.8</v>
      </c>
      <c r="H57" s="39">
        <v>38</v>
      </c>
      <c r="I57" s="39">
        <v>38.405</v>
      </c>
      <c r="J57" s="36">
        <v>39.717</v>
      </c>
      <c r="K57" s="36">
        <v>39.5</v>
      </c>
      <c r="L57" s="142">
        <v>41.6</v>
      </c>
      <c r="M57" s="142">
        <v>45.8</v>
      </c>
      <c r="N57" s="142">
        <v>47.438</v>
      </c>
      <c r="O57" s="36">
        <v>48.919</v>
      </c>
      <c r="P57" s="36">
        <v>49.332</v>
      </c>
      <c r="Q57" s="36">
        <v>51.3</v>
      </c>
      <c r="R57" s="142">
        <v>52.201</v>
      </c>
      <c r="S57" s="142">
        <v>56.316</v>
      </c>
      <c r="T57" s="142">
        <v>54.239</v>
      </c>
      <c r="U57" s="142">
        <v>56.043</v>
      </c>
    </row>
    <row r="58" spans="1:21" ht="15">
      <c r="A58" s="450" t="s">
        <v>691</v>
      </c>
      <c r="B58" s="39">
        <v>86</v>
      </c>
      <c r="C58" s="39">
        <v>84.9</v>
      </c>
      <c r="D58" s="39">
        <v>87.8</v>
      </c>
      <c r="E58" s="39">
        <v>91.6</v>
      </c>
      <c r="F58" s="39">
        <v>95</v>
      </c>
      <c r="G58" s="39">
        <v>97.1</v>
      </c>
      <c r="H58" s="39">
        <v>92.4</v>
      </c>
      <c r="I58" s="39">
        <v>93.207</v>
      </c>
      <c r="J58" s="36">
        <v>91.376</v>
      </c>
      <c r="K58" s="36">
        <v>94.5</v>
      </c>
      <c r="L58" s="142">
        <v>100.2</v>
      </c>
      <c r="M58" s="142">
        <v>109</v>
      </c>
      <c r="N58" s="142">
        <v>115.916</v>
      </c>
      <c r="O58" s="36">
        <v>117.831</v>
      </c>
      <c r="P58" s="36">
        <v>117.411</v>
      </c>
      <c r="Q58" s="36">
        <v>114.7</v>
      </c>
      <c r="R58" s="142">
        <v>110.11</v>
      </c>
      <c r="S58" s="142">
        <v>114.269</v>
      </c>
      <c r="T58" s="142">
        <v>108.515</v>
      </c>
      <c r="U58" s="142">
        <v>108.925</v>
      </c>
    </row>
    <row r="59" spans="1:21" ht="15">
      <c r="A59" s="450" t="s">
        <v>692</v>
      </c>
      <c r="B59" s="39">
        <v>34.7</v>
      </c>
      <c r="C59" s="39">
        <v>37.9</v>
      </c>
      <c r="D59" s="39">
        <v>39.4</v>
      </c>
      <c r="E59" s="39">
        <v>42.9</v>
      </c>
      <c r="F59" s="39">
        <v>44.1</v>
      </c>
      <c r="G59" s="39">
        <v>43.5</v>
      </c>
      <c r="H59" s="39">
        <v>40.9</v>
      </c>
      <c r="I59" s="39">
        <v>38.626</v>
      </c>
      <c r="J59" s="36">
        <v>36.368</v>
      </c>
      <c r="K59" s="36">
        <v>37</v>
      </c>
      <c r="L59" s="142">
        <v>38.6</v>
      </c>
      <c r="M59" s="142">
        <v>43.8</v>
      </c>
      <c r="N59" s="142">
        <v>45.451</v>
      </c>
      <c r="O59" s="36">
        <v>46.021</v>
      </c>
      <c r="P59" s="36">
        <v>47.864</v>
      </c>
      <c r="Q59" s="36">
        <v>48</v>
      </c>
      <c r="R59" s="142">
        <v>45.212</v>
      </c>
      <c r="S59" s="142">
        <v>47.885</v>
      </c>
      <c r="T59" s="142">
        <v>45.259</v>
      </c>
      <c r="U59" s="142">
        <v>46.15</v>
      </c>
    </row>
    <row r="60" spans="1:21" ht="15">
      <c r="A60" s="450" t="s">
        <v>375</v>
      </c>
      <c r="B60" s="39">
        <v>4.1</v>
      </c>
      <c r="C60" s="39">
        <v>3.7</v>
      </c>
      <c r="D60" s="39">
        <v>4.6</v>
      </c>
      <c r="E60" s="39">
        <v>4.2</v>
      </c>
      <c r="F60" s="39">
        <v>5.3</v>
      </c>
      <c r="G60" s="39">
        <v>4.1</v>
      </c>
      <c r="H60" s="39">
        <v>3.8</v>
      </c>
      <c r="I60" s="39">
        <v>4.376</v>
      </c>
      <c r="J60" s="36">
        <v>5.048</v>
      </c>
      <c r="K60" s="36">
        <v>4.8</v>
      </c>
      <c r="L60" s="142">
        <v>4.8</v>
      </c>
      <c r="M60" s="142">
        <v>4.7</v>
      </c>
      <c r="N60" s="142">
        <v>5.025</v>
      </c>
      <c r="O60" s="36">
        <v>5.201</v>
      </c>
      <c r="P60" s="36">
        <v>5.324</v>
      </c>
      <c r="Q60" s="36">
        <v>4.6</v>
      </c>
      <c r="R60" s="142">
        <v>4.812</v>
      </c>
      <c r="S60" s="142">
        <v>4.616</v>
      </c>
      <c r="T60" s="142">
        <v>5.218</v>
      </c>
      <c r="U60" s="142">
        <v>5.592</v>
      </c>
    </row>
    <row r="61" spans="1:21" ht="15">
      <c r="A61" s="450" t="s">
        <v>693</v>
      </c>
      <c r="B61" s="39">
        <v>6.6</v>
      </c>
      <c r="C61" s="39">
        <v>6.7</v>
      </c>
      <c r="D61" s="39">
        <v>7.1</v>
      </c>
      <c r="E61" s="39">
        <v>7.3</v>
      </c>
      <c r="F61" s="39">
        <v>7.9</v>
      </c>
      <c r="G61" s="39">
        <v>8.4</v>
      </c>
      <c r="H61" s="39">
        <v>9</v>
      </c>
      <c r="I61" s="39">
        <v>8.975</v>
      </c>
      <c r="J61" s="36">
        <v>9.52</v>
      </c>
      <c r="K61" s="36">
        <v>10</v>
      </c>
      <c r="L61" s="142">
        <v>11</v>
      </c>
      <c r="M61" s="142">
        <v>11.3</v>
      </c>
      <c r="N61" s="142">
        <v>12.379</v>
      </c>
      <c r="O61" s="36">
        <v>12.745</v>
      </c>
      <c r="P61" s="36">
        <v>12.373</v>
      </c>
      <c r="Q61" s="36">
        <v>13</v>
      </c>
      <c r="R61" s="142">
        <v>13.026</v>
      </c>
      <c r="S61" s="142">
        <v>15.818</v>
      </c>
      <c r="T61" s="142">
        <v>15.643</v>
      </c>
      <c r="U61" s="142">
        <v>15.186</v>
      </c>
    </row>
    <row r="62" spans="1:21" ht="15">
      <c r="A62" s="450" t="s">
        <v>694</v>
      </c>
      <c r="B62" s="39"/>
      <c r="C62" s="39"/>
      <c r="D62" s="39"/>
      <c r="E62" s="39"/>
      <c r="F62" s="39"/>
      <c r="G62" s="39"/>
      <c r="H62" s="39"/>
      <c r="I62" s="39"/>
      <c r="J62" s="36"/>
      <c r="K62" s="36"/>
      <c r="L62" s="142"/>
      <c r="M62" s="142"/>
      <c r="N62" s="142"/>
      <c r="O62" s="36"/>
      <c r="P62" s="36"/>
      <c r="Q62" s="36"/>
      <c r="R62" s="142"/>
      <c r="S62" s="142"/>
      <c r="T62" s="142"/>
      <c r="U62" s="142"/>
    </row>
    <row r="63" spans="1:21" ht="15">
      <c r="A63" s="414" t="s">
        <v>223</v>
      </c>
      <c r="B63" s="39">
        <v>11.1</v>
      </c>
      <c r="C63" s="39">
        <v>11</v>
      </c>
      <c r="D63" s="39">
        <v>10.2</v>
      </c>
      <c r="E63" s="39">
        <v>10.4</v>
      </c>
      <c r="F63" s="39">
        <v>11.1</v>
      </c>
      <c r="G63" s="39">
        <v>10.9</v>
      </c>
      <c r="H63" s="39">
        <v>11.3</v>
      </c>
      <c r="I63" s="39">
        <v>11.579</v>
      </c>
      <c r="J63" s="36">
        <v>11.891</v>
      </c>
      <c r="K63" s="36">
        <v>12.8</v>
      </c>
      <c r="L63" s="142">
        <v>13.2</v>
      </c>
      <c r="M63" s="142">
        <v>12.2</v>
      </c>
      <c r="N63" s="142">
        <v>13.099</v>
      </c>
      <c r="O63" s="36">
        <v>12.607</v>
      </c>
      <c r="P63" s="36">
        <v>13.208</v>
      </c>
      <c r="Q63" s="36">
        <v>13.7</v>
      </c>
      <c r="R63" s="142">
        <v>13.597</v>
      </c>
      <c r="S63" s="142">
        <v>18.336</v>
      </c>
      <c r="T63" s="142">
        <v>18.005</v>
      </c>
      <c r="U63" s="142">
        <v>19.275</v>
      </c>
    </row>
    <row r="64" spans="1:21" ht="15">
      <c r="A64" s="450" t="s">
        <v>695</v>
      </c>
      <c r="B64" s="39">
        <v>27.1</v>
      </c>
      <c r="C64" s="39">
        <v>28.9</v>
      </c>
      <c r="D64" s="39">
        <v>36.3</v>
      </c>
      <c r="E64" s="39">
        <v>43.9</v>
      </c>
      <c r="F64" s="39">
        <v>46.1</v>
      </c>
      <c r="G64" s="39">
        <v>43.1</v>
      </c>
      <c r="H64" s="39">
        <v>39</v>
      </c>
      <c r="I64" s="39">
        <v>36.881</v>
      </c>
      <c r="J64" s="36">
        <v>34.159</v>
      </c>
      <c r="K64" s="36">
        <v>34.5</v>
      </c>
      <c r="L64" s="142">
        <v>38.2</v>
      </c>
      <c r="M64" s="142">
        <v>40.4</v>
      </c>
      <c r="N64" s="142">
        <v>44.452</v>
      </c>
      <c r="O64" s="36">
        <v>44.02</v>
      </c>
      <c r="P64" s="36">
        <v>44.228</v>
      </c>
      <c r="Q64" s="36">
        <v>46.9</v>
      </c>
      <c r="R64" s="142">
        <v>46.597</v>
      </c>
      <c r="S64" s="142">
        <v>54.33</v>
      </c>
      <c r="T64" s="142">
        <v>51.853</v>
      </c>
      <c r="U64" s="142">
        <v>52.441</v>
      </c>
    </row>
    <row r="65" spans="1:21" ht="18">
      <c r="A65" s="450" t="s">
        <v>702</v>
      </c>
      <c r="B65" s="39">
        <v>440.9</v>
      </c>
      <c r="C65" s="39">
        <v>443.2</v>
      </c>
      <c r="D65" s="39">
        <v>441</v>
      </c>
      <c r="E65" s="39">
        <v>419.7</v>
      </c>
      <c r="F65" s="42" t="s">
        <v>152</v>
      </c>
      <c r="G65" s="42" t="s">
        <v>152</v>
      </c>
      <c r="H65" s="42" t="s">
        <v>152</v>
      </c>
      <c r="I65" s="42" t="s">
        <v>152</v>
      </c>
      <c r="J65" s="36">
        <f>1.951+19.254+16.62+0.04</f>
        <v>37.865</v>
      </c>
      <c r="K65" s="36">
        <v>39.8</v>
      </c>
      <c r="L65" s="152">
        <v>44.682</v>
      </c>
      <c r="M65" s="200">
        <v>47.1</v>
      </c>
      <c r="N65" s="200">
        <v>49.513</v>
      </c>
      <c r="O65" s="36">
        <v>53.009</v>
      </c>
      <c r="P65" s="36">
        <v>54.034</v>
      </c>
      <c r="Q65" s="36">
        <v>55.3</v>
      </c>
      <c r="R65" s="142">
        <v>57.031</v>
      </c>
      <c r="S65" s="142">
        <v>69.825</v>
      </c>
      <c r="T65" s="142">
        <v>67.865</v>
      </c>
      <c r="U65" s="142">
        <v>67.64</v>
      </c>
    </row>
    <row r="66" spans="1:21" ht="15">
      <c r="A66" s="450" t="s">
        <v>697</v>
      </c>
      <c r="B66" s="39">
        <v>39</v>
      </c>
      <c r="C66" s="39">
        <v>39.5</v>
      </c>
      <c r="D66" s="39">
        <v>40.1</v>
      </c>
      <c r="E66" s="39">
        <v>40</v>
      </c>
      <c r="F66" s="39">
        <v>40.1</v>
      </c>
      <c r="G66" s="39">
        <v>37.3</v>
      </c>
      <c r="H66" s="39">
        <v>37.4</v>
      </c>
      <c r="I66" s="39">
        <f>1.553+19.132+16.602+0.02</f>
        <v>37.30700000000001</v>
      </c>
      <c r="J66" s="36">
        <v>35.701</v>
      </c>
      <c r="K66" s="36">
        <v>39.2</v>
      </c>
      <c r="L66" s="142">
        <v>42.2</v>
      </c>
      <c r="M66" s="142">
        <v>44.3</v>
      </c>
      <c r="N66" s="142">
        <v>48.524</v>
      </c>
      <c r="O66" s="36">
        <v>46.926</v>
      </c>
      <c r="P66" s="36">
        <v>46.899</v>
      </c>
      <c r="Q66" s="36">
        <v>49</v>
      </c>
      <c r="R66" s="142">
        <v>48.83</v>
      </c>
      <c r="S66" s="142">
        <v>66.705</v>
      </c>
      <c r="T66" s="142">
        <v>67.583</v>
      </c>
      <c r="U66" s="142">
        <v>67.778</v>
      </c>
    </row>
    <row r="67" spans="1:21" ht="15">
      <c r="A67" s="450" t="s">
        <v>698</v>
      </c>
      <c r="B67" s="39">
        <v>31.2</v>
      </c>
      <c r="C67" s="39">
        <v>31.1</v>
      </c>
      <c r="D67" s="39">
        <v>29.4</v>
      </c>
      <c r="E67" s="39">
        <v>29.6</v>
      </c>
      <c r="F67" s="39">
        <v>34.6</v>
      </c>
      <c r="G67" s="39">
        <v>35</v>
      </c>
      <c r="H67" s="39">
        <v>33.8</v>
      </c>
      <c r="I67" s="39">
        <v>34.015</v>
      </c>
      <c r="J67" s="36">
        <v>10.525</v>
      </c>
      <c r="K67" s="36">
        <v>11.2</v>
      </c>
      <c r="L67" s="142">
        <v>10.2</v>
      </c>
      <c r="M67" s="142">
        <v>11.2</v>
      </c>
      <c r="N67" s="142">
        <v>12.496</v>
      </c>
      <c r="O67" s="36">
        <v>12.486</v>
      </c>
      <c r="P67" s="36">
        <v>13.246</v>
      </c>
      <c r="Q67" s="36">
        <v>14.2</v>
      </c>
      <c r="R67" s="142">
        <v>13.723</v>
      </c>
      <c r="S67" s="142">
        <v>14.486</v>
      </c>
      <c r="T67" s="142">
        <v>14.184</v>
      </c>
      <c r="U67" s="142">
        <v>12.722</v>
      </c>
    </row>
    <row r="68" spans="1:21" ht="15">
      <c r="A68" s="450" t="s">
        <v>699</v>
      </c>
      <c r="B68" s="39">
        <v>7.079</v>
      </c>
      <c r="C68" s="39">
        <v>7.256</v>
      </c>
      <c r="D68" s="39">
        <v>6.695</v>
      </c>
      <c r="E68" s="39">
        <v>8.605</v>
      </c>
      <c r="F68" s="39">
        <v>7.792</v>
      </c>
      <c r="G68" s="39">
        <v>8.51</v>
      </c>
      <c r="H68" s="39">
        <v>8.2</v>
      </c>
      <c r="I68" s="39">
        <v>9.517</v>
      </c>
      <c r="J68" s="36">
        <v>12.145</v>
      </c>
      <c r="K68" s="36">
        <v>12.9</v>
      </c>
      <c r="L68" s="142">
        <v>13.9</v>
      </c>
      <c r="M68" s="142">
        <v>14.7</v>
      </c>
      <c r="N68" s="142">
        <v>16.12</v>
      </c>
      <c r="O68" s="36">
        <v>17.15</v>
      </c>
      <c r="P68" s="36">
        <v>16.692</v>
      </c>
      <c r="Q68" s="36">
        <v>20.2</v>
      </c>
      <c r="R68" s="142">
        <v>22.858</v>
      </c>
      <c r="S68" s="142">
        <v>22.884</v>
      </c>
      <c r="T68" s="142">
        <v>21.189</v>
      </c>
      <c r="U68" s="142">
        <v>19.034</v>
      </c>
    </row>
    <row r="69" spans="1:21" ht="15">
      <c r="A69" s="450" t="s">
        <v>703</v>
      </c>
      <c r="B69" s="39">
        <v>9.492</v>
      </c>
      <c r="C69" s="39">
        <v>9.472</v>
      </c>
      <c r="D69" s="39">
        <v>8.601</v>
      </c>
      <c r="E69" s="39">
        <v>9.653</v>
      </c>
      <c r="F69" s="39">
        <v>10.146</v>
      </c>
      <c r="G69" s="39">
        <v>10.387</v>
      </c>
      <c r="H69" s="39">
        <v>9.9</v>
      </c>
      <c r="I69" s="39">
        <v>10.6</v>
      </c>
      <c r="J69" s="36">
        <v>12.618</v>
      </c>
      <c r="K69" s="36">
        <v>13.1</v>
      </c>
      <c r="L69" s="658">
        <v>0</v>
      </c>
      <c r="M69" s="658">
        <v>0</v>
      </c>
      <c r="N69" s="658">
        <v>0</v>
      </c>
      <c r="O69" s="658">
        <v>0</v>
      </c>
      <c r="P69" s="658">
        <v>0</v>
      </c>
      <c r="Q69" s="658">
        <v>0</v>
      </c>
      <c r="R69" s="658">
        <v>0</v>
      </c>
      <c r="S69" s="658">
        <v>0</v>
      </c>
      <c r="T69" s="658">
        <v>0</v>
      </c>
      <c r="U69" s="658">
        <v>0</v>
      </c>
    </row>
    <row r="70" spans="1:21" ht="18">
      <c r="A70" s="657" t="s">
        <v>704</v>
      </c>
      <c r="B70" s="39" t="s">
        <v>189</v>
      </c>
      <c r="C70" s="39" t="s">
        <v>189</v>
      </c>
      <c r="D70" s="39" t="s">
        <v>189</v>
      </c>
      <c r="E70" s="39" t="s">
        <v>189</v>
      </c>
      <c r="F70" s="39">
        <v>7.29</v>
      </c>
      <c r="G70" s="39">
        <v>9.989</v>
      </c>
      <c r="H70" s="39">
        <v>11.5</v>
      </c>
      <c r="I70" s="39">
        <v>12.364</v>
      </c>
      <c r="J70" s="658">
        <v>0</v>
      </c>
      <c r="K70" s="658">
        <v>0</v>
      </c>
      <c r="L70" s="142">
        <v>14.6</v>
      </c>
      <c r="M70" s="142">
        <v>16.6</v>
      </c>
      <c r="N70" s="142">
        <v>18.926</v>
      </c>
      <c r="O70" s="36">
        <v>19.215</v>
      </c>
      <c r="P70" s="36">
        <v>20.795</v>
      </c>
      <c r="Q70" s="36">
        <v>21.5</v>
      </c>
      <c r="R70" s="142">
        <v>21.513</v>
      </c>
      <c r="S70" s="142">
        <v>24.729</v>
      </c>
      <c r="T70" s="142">
        <v>23.66</v>
      </c>
      <c r="U70" s="142">
        <v>23.383</v>
      </c>
    </row>
    <row r="71" spans="1:21" ht="15">
      <c r="A71" s="657" t="s">
        <v>683</v>
      </c>
      <c r="B71" s="39"/>
      <c r="C71" s="39"/>
      <c r="D71" s="39"/>
      <c r="E71" s="39"/>
      <c r="F71" s="39"/>
      <c r="G71" s="39"/>
      <c r="H71" s="39"/>
      <c r="I71" s="39"/>
      <c r="J71" s="658">
        <v>0</v>
      </c>
      <c r="K71" s="658">
        <v>0</v>
      </c>
      <c r="L71" s="659">
        <v>0</v>
      </c>
      <c r="M71" s="659">
        <v>9.885</v>
      </c>
      <c r="N71" s="659">
        <v>13.848</v>
      </c>
      <c r="O71" s="660">
        <v>13.684</v>
      </c>
      <c r="P71" s="660">
        <v>13.154</v>
      </c>
      <c r="Q71" s="660">
        <v>14.418</v>
      </c>
      <c r="R71" s="659">
        <v>13.94</v>
      </c>
      <c r="S71" s="659">
        <v>17.005</v>
      </c>
      <c r="T71" s="659">
        <v>15.972</v>
      </c>
      <c r="U71" s="659">
        <v>17.016</v>
      </c>
    </row>
    <row r="72" spans="1:21" ht="15">
      <c r="A72" s="657" t="s">
        <v>684</v>
      </c>
      <c r="B72" s="39"/>
      <c r="C72" s="39"/>
      <c r="D72" s="39"/>
      <c r="E72" s="39"/>
      <c r="F72" s="39"/>
      <c r="G72" s="39"/>
      <c r="H72" s="39"/>
      <c r="I72" s="39"/>
      <c r="J72" s="658">
        <v>3.731</v>
      </c>
      <c r="K72" s="658">
        <v>3.747</v>
      </c>
      <c r="L72" s="659">
        <v>4.939</v>
      </c>
      <c r="M72" s="659">
        <v>3.406</v>
      </c>
      <c r="N72" s="659">
        <v>2.658</v>
      </c>
      <c r="O72" s="659">
        <v>2.923</v>
      </c>
      <c r="P72" s="660">
        <v>3.037</v>
      </c>
      <c r="Q72" s="660">
        <v>2.383</v>
      </c>
      <c r="R72" s="660">
        <v>2.818</v>
      </c>
      <c r="S72" s="659">
        <v>2.807</v>
      </c>
      <c r="T72" s="659">
        <v>2.323</v>
      </c>
      <c r="U72" s="659">
        <v>3.177</v>
      </c>
    </row>
    <row r="73" spans="1:21" ht="15">
      <c r="A73" s="657" t="s">
        <v>685</v>
      </c>
      <c r="B73" s="39"/>
      <c r="C73" s="39"/>
      <c r="D73" s="39"/>
      <c r="E73" s="39"/>
      <c r="F73" s="39"/>
      <c r="G73" s="39"/>
      <c r="H73" s="39"/>
      <c r="I73" s="39"/>
      <c r="J73" s="658">
        <v>0</v>
      </c>
      <c r="K73" s="658">
        <v>0.01</v>
      </c>
      <c r="L73" s="659">
        <v>0.005</v>
      </c>
      <c r="M73" s="659">
        <v>0</v>
      </c>
      <c r="N73" s="659">
        <v>0.335</v>
      </c>
      <c r="O73" s="660">
        <v>0.475</v>
      </c>
      <c r="P73" s="660">
        <v>0.59</v>
      </c>
      <c r="Q73" s="660">
        <v>0.867</v>
      </c>
      <c r="R73" s="659">
        <v>0.926</v>
      </c>
      <c r="S73" s="659">
        <v>0.837</v>
      </c>
      <c r="T73" s="659">
        <v>0.961</v>
      </c>
      <c r="U73" s="659">
        <v>0.82</v>
      </c>
    </row>
    <row r="74" spans="1:21" ht="15">
      <c r="A74" s="657" t="s">
        <v>686</v>
      </c>
      <c r="B74" s="39"/>
      <c r="C74" s="39"/>
      <c r="D74" s="39"/>
      <c r="E74" s="39"/>
      <c r="F74" s="39"/>
      <c r="G74" s="39"/>
      <c r="H74" s="39"/>
      <c r="I74" s="39"/>
      <c r="J74" s="658">
        <v>0</v>
      </c>
      <c r="K74" s="658">
        <v>0</v>
      </c>
      <c r="L74" s="659">
        <v>0.507</v>
      </c>
      <c r="M74" s="659">
        <v>1.506</v>
      </c>
      <c r="N74" s="659">
        <v>1.864</v>
      </c>
      <c r="O74" s="660">
        <v>1.901</v>
      </c>
      <c r="P74" s="660">
        <v>2.309</v>
      </c>
      <c r="Q74" s="660">
        <v>2.189</v>
      </c>
      <c r="R74" s="659">
        <v>2.32</v>
      </c>
      <c r="S74" s="659">
        <v>2.818</v>
      </c>
      <c r="T74" s="659">
        <v>2.288</v>
      </c>
      <c r="U74" s="659">
        <v>2.546</v>
      </c>
    </row>
    <row r="75" spans="1:21" ht="15">
      <c r="A75" s="657" t="s">
        <v>687</v>
      </c>
      <c r="B75" s="39"/>
      <c r="C75" s="39"/>
      <c r="D75" s="39"/>
      <c r="E75" s="39"/>
      <c r="F75" s="39"/>
      <c r="G75" s="39"/>
      <c r="H75" s="39"/>
      <c r="I75" s="39"/>
      <c r="J75" s="658">
        <v>3.059</v>
      </c>
      <c r="K75" s="658">
        <v>2.959</v>
      </c>
      <c r="L75" s="659">
        <v>3.136</v>
      </c>
      <c r="M75" s="659">
        <v>4.198</v>
      </c>
      <c r="N75" s="659">
        <v>4.076</v>
      </c>
      <c r="O75" s="660">
        <v>4.213</v>
      </c>
      <c r="P75" s="660">
        <v>4.478</v>
      </c>
      <c r="Q75" s="660">
        <v>4.709</v>
      </c>
      <c r="R75" s="659">
        <v>4.481</v>
      </c>
      <c r="S75" s="659">
        <v>4.441</v>
      </c>
      <c r="T75" s="659">
        <v>4.628</v>
      </c>
      <c r="U75" s="659">
        <v>4.28</v>
      </c>
    </row>
    <row r="76" spans="1:21" ht="15">
      <c r="A76" s="657" t="s">
        <v>688</v>
      </c>
      <c r="B76" s="39"/>
      <c r="C76" s="39"/>
      <c r="D76" s="39"/>
      <c r="E76" s="39"/>
      <c r="F76" s="39"/>
      <c r="G76" s="39"/>
      <c r="H76" s="39"/>
      <c r="I76" s="39"/>
      <c r="J76" s="658">
        <v>1.285</v>
      </c>
      <c r="K76" s="658">
        <v>1.514</v>
      </c>
      <c r="L76" s="659">
        <v>1.688</v>
      </c>
      <c r="M76" s="659">
        <v>1.751</v>
      </c>
      <c r="N76" s="659">
        <v>1.929</v>
      </c>
      <c r="O76" s="660">
        <v>1.947</v>
      </c>
      <c r="P76" s="660">
        <v>2.018</v>
      </c>
      <c r="Q76" s="660">
        <v>2.264</v>
      </c>
      <c r="R76" s="659">
        <v>2.245</v>
      </c>
      <c r="S76" s="659">
        <v>2.528</v>
      </c>
      <c r="T76" s="659">
        <v>2.779</v>
      </c>
      <c r="U76" s="659">
        <v>2.742</v>
      </c>
    </row>
    <row r="77" spans="1:21" ht="15">
      <c r="A77" s="450" t="s">
        <v>689</v>
      </c>
      <c r="B77" s="41"/>
      <c r="C77" s="41"/>
      <c r="D77" s="41"/>
      <c r="E77" s="41"/>
      <c r="F77" s="41"/>
      <c r="G77" s="41"/>
      <c r="H77" s="39"/>
      <c r="I77" s="39"/>
      <c r="J77" s="661">
        <v>3.69</v>
      </c>
      <c r="K77" s="660">
        <v>4.067</v>
      </c>
      <c r="L77" s="659">
        <v>4.324</v>
      </c>
      <c r="M77" s="658">
        <v>5.652</v>
      </c>
      <c r="N77" s="658">
        <v>5.968</v>
      </c>
      <c r="O77" s="660">
        <v>5.792</v>
      </c>
      <c r="P77" s="660">
        <v>6.228</v>
      </c>
      <c r="Q77" s="660">
        <v>5.856</v>
      </c>
      <c r="R77" s="659">
        <v>5.448</v>
      </c>
      <c r="S77" s="659">
        <v>6.068</v>
      </c>
      <c r="T77" s="659">
        <v>5.566</v>
      </c>
      <c r="U77" s="659">
        <v>5.293</v>
      </c>
    </row>
    <row r="78" spans="1:21" ht="15">
      <c r="A78" s="33" t="s">
        <v>227</v>
      </c>
      <c r="B78" s="39">
        <v>752.4</v>
      </c>
      <c r="C78" s="39">
        <v>759.9</v>
      </c>
      <c r="D78" s="39">
        <v>770.3</v>
      </c>
      <c r="E78" s="39">
        <v>764.3</v>
      </c>
      <c r="F78" s="39">
        <v>373.2</v>
      </c>
      <c r="G78" s="39">
        <v>377</v>
      </c>
      <c r="H78" s="39">
        <v>357.5</v>
      </c>
      <c r="I78" s="39">
        <v>347.6</v>
      </c>
      <c r="J78" s="36">
        <v>349.007</v>
      </c>
      <c r="K78" s="219">
        <f aca="true" t="shared" si="4" ref="K78:U78">SUM(K56:K77)</f>
        <v>361.59700000000004</v>
      </c>
      <c r="L78" s="219">
        <f t="shared" si="4"/>
        <v>387.78100000000006</v>
      </c>
      <c r="M78" s="219">
        <f t="shared" si="4"/>
        <v>427.49799999999993</v>
      </c>
      <c r="N78" s="219">
        <f t="shared" si="4"/>
        <v>460.01699999999994</v>
      </c>
      <c r="O78" s="219">
        <f t="shared" si="4"/>
        <v>467.065</v>
      </c>
      <c r="P78" s="219">
        <f t="shared" si="4"/>
        <v>473.21999999999997</v>
      </c>
      <c r="Q78" s="219">
        <f t="shared" si="4"/>
        <v>485.086</v>
      </c>
      <c r="R78" s="219">
        <f t="shared" si="4"/>
        <v>481.688</v>
      </c>
      <c r="S78" s="219">
        <f t="shared" si="4"/>
        <v>546.703</v>
      </c>
      <c r="T78" s="219">
        <f t="shared" si="4"/>
        <v>527.73</v>
      </c>
      <c r="U78" s="219">
        <f t="shared" si="4"/>
        <v>530.043</v>
      </c>
    </row>
    <row r="79" spans="1:21" ht="7.5" customHeight="1">
      <c r="A79" s="33"/>
      <c r="B79" s="40" t="s">
        <v>292</v>
      </c>
      <c r="C79" s="40" t="s">
        <v>292</v>
      </c>
      <c r="D79" s="40" t="s">
        <v>292</v>
      </c>
      <c r="E79" s="40" t="s">
        <v>292</v>
      </c>
      <c r="F79" s="40" t="s">
        <v>292</v>
      </c>
      <c r="G79" s="40" t="s">
        <v>292</v>
      </c>
      <c r="H79" s="40" t="s">
        <v>292</v>
      </c>
      <c r="I79" s="39"/>
      <c r="J79" s="39"/>
      <c r="K79" s="36"/>
      <c r="L79" s="36"/>
      <c r="M79" s="142"/>
      <c r="N79" s="142"/>
      <c r="O79" s="142"/>
      <c r="S79" s="75"/>
      <c r="T79" s="75"/>
      <c r="U79" s="75"/>
    </row>
    <row r="80" spans="1:21" ht="15.75">
      <c r="A80" s="293" t="s">
        <v>141</v>
      </c>
      <c r="B80" s="418">
        <v>1296.3</v>
      </c>
      <c r="C80" s="418">
        <v>1296.4</v>
      </c>
      <c r="D80" s="418">
        <v>1304.2</v>
      </c>
      <c r="E80" s="418">
        <v>1321.8</v>
      </c>
      <c r="F80" s="418">
        <v>936.5</v>
      </c>
      <c r="G80" s="418">
        <v>929.8</v>
      </c>
      <c r="H80" s="418">
        <v>904.8</v>
      </c>
      <c r="I80" s="453">
        <v>894.9</v>
      </c>
      <c r="J80" s="420">
        <f aca="true" t="shared" si="5" ref="J80:Q80">SUM(J54,J78)</f>
        <v>916.7929999999999</v>
      </c>
      <c r="K80" s="420">
        <f t="shared" si="5"/>
        <v>964.5720000000001</v>
      </c>
      <c r="L80" s="420">
        <f t="shared" si="5"/>
        <v>998.9810000000001</v>
      </c>
      <c r="M80" s="420">
        <f t="shared" si="5"/>
        <v>1030.2979999999998</v>
      </c>
      <c r="N80" s="420">
        <f t="shared" si="5"/>
        <v>1091.2979999999998</v>
      </c>
      <c r="O80" s="420">
        <f t="shared" si="5"/>
        <v>1103.782</v>
      </c>
      <c r="P80" s="420">
        <f t="shared" si="5"/>
        <v>1109.2350000000001</v>
      </c>
      <c r="Q80" s="420">
        <f t="shared" si="5"/>
        <v>1149.6860000000001</v>
      </c>
      <c r="R80" s="420">
        <f>SUM(R54,R78)</f>
        <v>1113.358</v>
      </c>
      <c r="S80" s="420">
        <f>SUM(S54,S78)</f>
        <v>1182.594</v>
      </c>
      <c r="T80" s="420">
        <f>SUM(T54,T78)</f>
        <v>1140.13</v>
      </c>
      <c r="U80" s="420">
        <f>SUM(U54,U78)</f>
        <v>1087.925</v>
      </c>
    </row>
    <row r="81" spans="1:20" s="5" customFormat="1" ht="15" customHeight="1">
      <c r="A81" s="5" t="s">
        <v>602</v>
      </c>
      <c r="B81" s="619"/>
      <c r="C81" s="619"/>
      <c r="D81" s="619"/>
      <c r="E81" s="619"/>
      <c r="F81" s="619"/>
      <c r="G81" s="619"/>
      <c r="H81" s="619"/>
      <c r="I81" s="39"/>
      <c r="J81" s="422"/>
      <c r="K81" s="422"/>
      <c r="L81" s="422"/>
      <c r="M81" s="422"/>
      <c r="N81" s="423"/>
      <c r="O81" s="424"/>
      <c r="P81" s="424"/>
      <c r="Q81" s="425"/>
      <c r="R81" s="426"/>
      <c r="S81" s="426"/>
      <c r="T81" s="426"/>
    </row>
    <row r="82" s="5" customFormat="1" ht="12.75">
      <c r="A82" s="5" t="s">
        <v>675</v>
      </c>
    </row>
    <row r="83" s="5" customFormat="1" ht="15" customHeight="1">
      <c r="A83" s="5" t="s">
        <v>676</v>
      </c>
    </row>
    <row r="84" s="5" customFormat="1" ht="12.75">
      <c r="A84" s="5" t="s">
        <v>677</v>
      </c>
    </row>
    <row r="85" s="5" customFormat="1" ht="12.75">
      <c r="A85" s="5" t="s">
        <v>678</v>
      </c>
    </row>
    <row r="86" s="5" customFormat="1" ht="12.75">
      <c r="A86" s="5" t="s">
        <v>561</v>
      </c>
    </row>
    <row r="87" s="5" customFormat="1" ht="12.75">
      <c r="A87" s="5" t="s">
        <v>751</v>
      </c>
    </row>
    <row r="88" s="5" customFormat="1" ht="12.75">
      <c r="A88" s="5" t="s">
        <v>679</v>
      </c>
    </row>
  </sheetData>
  <sheetProtection/>
  <mergeCells count="2">
    <mergeCell ref="J3:T3"/>
    <mergeCell ref="J43:T43"/>
  </mergeCells>
  <printOptions/>
  <pageMargins left="0.7480314960629921" right="0.7480314960629921" top="0.7086614173228347" bottom="0.5905511811023623" header="0.3937007874015748" footer="0.5118110236220472"/>
  <pageSetup fitToHeight="1" fitToWidth="1" horizontalDpi="300" verticalDpi="300" orientation="portrait" paperSize="9" scale="55" r:id="rId1"/>
  <headerFooter alignWithMargins="0">
    <oddHeader>&amp;R&amp;"Arial,Bold"&amp;16WATER TRANSPORT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8.57421875" style="25" customWidth="1"/>
    <col min="2" max="11" width="10.140625" style="25" hidden="1" customWidth="1"/>
    <col min="12" max="21" width="9.7109375" style="25" customWidth="1"/>
    <col min="22" max="16384" width="9.140625" style="25" customWidth="1"/>
  </cols>
  <sheetData>
    <row r="1" spans="1:21" ht="16.5">
      <c r="A1" s="533" t="s">
        <v>744</v>
      </c>
      <c r="B1" s="533"/>
      <c r="C1" s="533"/>
      <c r="D1" s="533"/>
      <c r="E1" s="533"/>
      <c r="F1" s="533"/>
      <c r="G1" s="533"/>
      <c r="H1" s="533"/>
      <c r="I1" s="533"/>
      <c r="J1" s="533"/>
      <c r="K1" s="91"/>
      <c r="L1" s="91"/>
      <c r="M1" s="91"/>
      <c r="N1" s="91"/>
      <c r="O1" s="91"/>
      <c r="P1" s="33"/>
      <c r="Q1" s="33"/>
      <c r="R1" s="33"/>
      <c r="S1" s="33"/>
      <c r="T1" s="33"/>
      <c r="U1" s="33"/>
    </row>
    <row r="2" spans="1:21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91"/>
      <c r="L2" s="91"/>
      <c r="M2" s="91"/>
      <c r="N2" s="91"/>
      <c r="O2" s="91"/>
      <c r="P2" s="33"/>
      <c r="Q2" s="33"/>
      <c r="R2" s="33"/>
      <c r="S2" s="33"/>
      <c r="T2" s="33"/>
      <c r="U2" s="33"/>
    </row>
    <row r="3" spans="1:22" ht="21" customHeight="1">
      <c r="A3" s="427" t="s">
        <v>211</v>
      </c>
      <c r="B3" s="427"/>
      <c r="C3" s="427"/>
      <c r="D3" s="427"/>
      <c r="E3" s="427"/>
      <c r="F3" s="427"/>
      <c r="G3" s="427"/>
      <c r="H3" s="427"/>
      <c r="I3" s="427"/>
      <c r="J3" s="427"/>
      <c r="K3" s="703" t="s">
        <v>230</v>
      </c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275"/>
    </row>
    <row r="4" spans="1:22" ht="20.25" customHeight="1">
      <c r="A4" s="293"/>
      <c r="B4" s="417">
        <v>1991</v>
      </c>
      <c r="C4" s="417">
        <v>1992</v>
      </c>
      <c r="D4" s="417">
        <v>1993</v>
      </c>
      <c r="E4" s="417">
        <v>1994</v>
      </c>
      <c r="F4" s="417">
        <v>1995</v>
      </c>
      <c r="G4" s="417">
        <v>1996</v>
      </c>
      <c r="H4" s="417">
        <v>1997</v>
      </c>
      <c r="I4" s="417">
        <v>1998</v>
      </c>
      <c r="J4" s="417">
        <v>1999</v>
      </c>
      <c r="K4" s="417">
        <v>2000</v>
      </c>
      <c r="L4" s="417">
        <v>2001</v>
      </c>
      <c r="M4" s="417">
        <v>2002</v>
      </c>
      <c r="N4" s="417">
        <v>2003</v>
      </c>
      <c r="O4" s="417">
        <v>2004</v>
      </c>
      <c r="P4" s="417">
        <v>2005</v>
      </c>
      <c r="Q4" s="417">
        <v>2006</v>
      </c>
      <c r="R4" s="417">
        <v>2007</v>
      </c>
      <c r="S4" s="417">
        <v>2008</v>
      </c>
      <c r="T4" s="417">
        <v>2009</v>
      </c>
      <c r="U4" s="417">
        <v>2010</v>
      </c>
      <c r="V4" s="417">
        <v>2011</v>
      </c>
    </row>
    <row r="5" spans="1:22" ht="15.75">
      <c r="A5" s="37" t="s">
        <v>143</v>
      </c>
      <c r="B5" s="37"/>
      <c r="C5" s="37"/>
      <c r="D5" s="37"/>
      <c r="E5" s="37"/>
      <c r="F5" s="37"/>
      <c r="G5" s="37"/>
      <c r="H5" s="37"/>
      <c r="I5" s="37"/>
      <c r="J5" s="37"/>
      <c r="K5" s="181"/>
      <c r="N5" s="181"/>
      <c r="O5" s="181"/>
      <c r="P5" s="181"/>
      <c r="R5" s="16"/>
      <c r="S5" s="16"/>
      <c r="T5" s="16"/>
      <c r="U5" s="16"/>
      <c r="V5" s="16" t="s">
        <v>174</v>
      </c>
    </row>
    <row r="6" spans="1:22" ht="18">
      <c r="A6" s="450" t="s">
        <v>705</v>
      </c>
      <c r="B6" s="38">
        <v>11.2</v>
      </c>
      <c r="C6" s="38">
        <v>10.5</v>
      </c>
      <c r="D6" s="38">
        <v>9.1</v>
      </c>
      <c r="E6" s="38">
        <v>8.8</v>
      </c>
      <c r="F6" s="38">
        <v>9.6</v>
      </c>
      <c r="G6" s="38">
        <v>8.6</v>
      </c>
      <c r="H6" s="38">
        <v>8.5</v>
      </c>
      <c r="I6" s="42">
        <f>7.6+1.223</f>
        <v>8.823</v>
      </c>
      <c r="J6" s="36">
        <f>8.358+1.28</f>
        <v>9.638</v>
      </c>
      <c r="K6" s="36">
        <f>8.358+1.28</f>
        <v>9.638</v>
      </c>
      <c r="L6" s="36">
        <f>7.877+1.154</f>
        <v>9.030999999999999</v>
      </c>
      <c r="M6" s="142">
        <v>8.2</v>
      </c>
      <c r="N6" s="142">
        <v>4.9</v>
      </c>
      <c r="O6" s="142">
        <v>6.136</v>
      </c>
      <c r="P6" s="36">
        <v>6.033</v>
      </c>
      <c r="Q6" s="36">
        <v>5.992</v>
      </c>
      <c r="R6" s="36">
        <v>5.6</v>
      </c>
      <c r="S6" s="142">
        <v>3.852</v>
      </c>
      <c r="T6" s="142">
        <v>3.844</v>
      </c>
      <c r="U6" s="142">
        <v>3.462</v>
      </c>
      <c r="V6" s="142">
        <v>1.522</v>
      </c>
    </row>
    <row r="7" spans="1:22" ht="15.75" customHeight="1" hidden="1">
      <c r="A7" s="450" t="s">
        <v>213</v>
      </c>
      <c r="B7" s="42" t="s">
        <v>152</v>
      </c>
      <c r="C7" s="42" t="s">
        <v>152</v>
      </c>
      <c r="D7" s="42" t="s">
        <v>152</v>
      </c>
      <c r="E7" s="42" t="s">
        <v>152</v>
      </c>
      <c r="F7" s="42" t="s">
        <v>152</v>
      </c>
      <c r="G7" s="42" t="s">
        <v>152</v>
      </c>
      <c r="H7" s="42" t="s">
        <v>152</v>
      </c>
      <c r="I7" s="42" t="s">
        <v>152</v>
      </c>
      <c r="J7" s="36"/>
      <c r="K7" s="36"/>
      <c r="L7" s="36"/>
      <c r="M7" s="142"/>
      <c r="N7" s="142"/>
      <c r="O7" s="142"/>
      <c r="P7" s="36"/>
      <c r="Q7" s="36">
        <v>0</v>
      </c>
      <c r="R7" s="36">
        <v>0</v>
      </c>
      <c r="S7" s="142"/>
      <c r="T7" s="142"/>
      <c r="U7" s="142"/>
      <c r="V7" s="142"/>
    </row>
    <row r="8" spans="1:22" ht="15">
      <c r="A8" s="450" t="s">
        <v>706</v>
      </c>
      <c r="B8" s="38">
        <v>12.9</v>
      </c>
      <c r="C8" s="38">
        <v>11.9</v>
      </c>
      <c r="D8" s="38">
        <v>11.9</v>
      </c>
      <c r="E8" s="38">
        <v>12.8</v>
      </c>
      <c r="F8" s="38">
        <v>10.9</v>
      </c>
      <c r="G8" s="38">
        <v>10.8</v>
      </c>
      <c r="H8" s="38">
        <v>11.2</v>
      </c>
      <c r="I8" s="42">
        <f>9.381+1.253</f>
        <v>10.634</v>
      </c>
      <c r="J8" s="36">
        <f>10.977+1.513</f>
        <v>12.49</v>
      </c>
      <c r="K8" s="36">
        <f>10.977+1.513</f>
        <v>12.49</v>
      </c>
      <c r="L8" s="36">
        <f>12.167+1.386</f>
        <v>13.552999999999999</v>
      </c>
      <c r="M8" s="142">
        <v>14</v>
      </c>
      <c r="N8" s="142">
        <v>13.1</v>
      </c>
      <c r="O8" s="142">
        <v>13.186</v>
      </c>
      <c r="P8" s="36">
        <v>11.008</v>
      </c>
      <c r="Q8" s="36">
        <v>14.186</v>
      </c>
      <c r="R8" s="36">
        <v>13.6</v>
      </c>
      <c r="S8" s="142">
        <v>14.068</v>
      </c>
      <c r="T8" s="142">
        <v>12.074</v>
      </c>
      <c r="U8" s="142">
        <v>12.607</v>
      </c>
      <c r="V8" s="142">
        <v>14.134</v>
      </c>
    </row>
    <row r="9" spans="1:22" ht="15">
      <c r="A9" s="450" t="s">
        <v>707</v>
      </c>
      <c r="B9" s="38">
        <v>8.8</v>
      </c>
      <c r="C9" s="38">
        <v>10.7</v>
      </c>
      <c r="D9" s="38">
        <v>11.22</v>
      </c>
      <c r="E9" s="38">
        <v>10.7</v>
      </c>
      <c r="F9" s="38">
        <v>11.5</v>
      </c>
      <c r="G9" s="38">
        <v>11.3</v>
      </c>
      <c r="H9" s="38">
        <v>10.7</v>
      </c>
      <c r="I9" s="42">
        <v>10.756</v>
      </c>
      <c r="J9" s="36">
        <v>11.633</v>
      </c>
      <c r="K9" s="36">
        <v>11.633</v>
      </c>
      <c r="L9" s="36">
        <f>9.521+3.471</f>
        <v>12.992</v>
      </c>
      <c r="M9" s="142">
        <v>13.1</v>
      </c>
      <c r="N9" s="142">
        <v>13.1</v>
      </c>
      <c r="O9" s="142">
        <v>12.747</v>
      </c>
      <c r="P9" s="36">
        <v>15.301</v>
      </c>
      <c r="Q9" s="36">
        <v>16.502</v>
      </c>
      <c r="R9" s="36">
        <v>17.4</v>
      </c>
      <c r="S9" s="142">
        <v>17.499</v>
      </c>
      <c r="T9" s="142">
        <v>15.718</v>
      </c>
      <c r="U9" s="142">
        <v>14.937</v>
      </c>
      <c r="V9" s="142">
        <v>15.048</v>
      </c>
    </row>
    <row r="10" spans="1:22" ht="15">
      <c r="A10" s="664" t="s">
        <v>288</v>
      </c>
      <c r="B10" s="39" t="s">
        <v>189</v>
      </c>
      <c r="C10" s="39" t="s">
        <v>189</v>
      </c>
      <c r="D10" s="42" t="s">
        <v>152</v>
      </c>
      <c r="E10" s="42" t="s">
        <v>152</v>
      </c>
      <c r="F10" s="42" t="s">
        <v>152</v>
      </c>
      <c r="G10" s="42" t="s">
        <v>152</v>
      </c>
      <c r="H10" s="42">
        <v>0.4</v>
      </c>
      <c r="I10" s="42">
        <v>0.4</v>
      </c>
      <c r="J10" s="36">
        <f>0.448+0.024</f>
        <v>0.47200000000000003</v>
      </c>
      <c r="K10" s="36">
        <f>0.448+0.024</f>
        <v>0.47200000000000003</v>
      </c>
      <c r="L10" s="36">
        <f>0.3+0.011</f>
        <v>0.311</v>
      </c>
      <c r="M10" s="142">
        <v>0.4</v>
      </c>
      <c r="N10" s="142">
        <v>0.3</v>
      </c>
      <c r="O10" s="142">
        <v>0.329</v>
      </c>
      <c r="P10" s="36">
        <v>0.581</v>
      </c>
      <c r="Q10" s="36">
        <v>0.87</v>
      </c>
      <c r="R10" s="36">
        <v>0.6</v>
      </c>
      <c r="S10" s="142">
        <v>0.527</v>
      </c>
      <c r="T10" s="142">
        <v>0.67</v>
      </c>
      <c r="U10" s="142">
        <v>0.521</v>
      </c>
      <c r="V10" s="142">
        <v>0.564</v>
      </c>
    </row>
    <row r="11" spans="1:22" ht="15">
      <c r="A11" s="450" t="s">
        <v>709</v>
      </c>
      <c r="B11" s="38">
        <v>7.7</v>
      </c>
      <c r="C11" s="38">
        <v>8.1</v>
      </c>
      <c r="D11" s="38">
        <v>9.2</v>
      </c>
      <c r="E11" s="38">
        <v>9.6</v>
      </c>
      <c r="F11" s="38">
        <v>9.7</v>
      </c>
      <c r="G11" s="38">
        <v>9.5</v>
      </c>
      <c r="H11" s="38">
        <v>9.6</v>
      </c>
      <c r="I11" s="42">
        <v>11.1</v>
      </c>
      <c r="J11" s="36">
        <v>11.421</v>
      </c>
      <c r="K11" s="36">
        <v>11.421</v>
      </c>
      <c r="L11" s="36">
        <f>9.376+0.912</f>
        <v>10.288</v>
      </c>
      <c r="M11" s="142">
        <v>10.2</v>
      </c>
      <c r="N11" s="142">
        <v>10.4</v>
      </c>
      <c r="O11" s="142">
        <v>10.869</v>
      </c>
      <c r="P11" s="36">
        <v>12.243</v>
      </c>
      <c r="Q11" s="36">
        <v>11.381</v>
      </c>
      <c r="R11" s="36">
        <v>13.5</v>
      </c>
      <c r="S11" s="142">
        <v>12.536</v>
      </c>
      <c r="T11" s="142">
        <v>11.562</v>
      </c>
      <c r="U11" s="142">
        <v>13.217</v>
      </c>
      <c r="V11" s="142">
        <v>11.441</v>
      </c>
    </row>
    <row r="12" spans="1:22" ht="18">
      <c r="A12" s="450" t="s">
        <v>1</v>
      </c>
      <c r="B12" s="38">
        <v>0.1</v>
      </c>
      <c r="C12" s="38">
        <v>0.2</v>
      </c>
      <c r="D12" s="38">
        <v>0.2</v>
      </c>
      <c r="E12" s="38">
        <v>0.3</v>
      </c>
      <c r="F12" s="38">
        <v>0.4</v>
      </c>
      <c r="G12" s="25">
        <v>0.4</v>
      </c>
      <c r="H12" s="38">
        <v>0.4</v>
      </c>
      <c r="I12" s="42">
        <v>0.4</v>
      </c>
      <c r="J12" s="36">
        <v>0.482</v>
      </c>
      <c r="K12" s="36">
        <v>0.482</v>
      </c>
      <c r="L12" s="36">
        <f>0.457+0.11</f>
        <v>0.5670000000000001</v>
      </c>
      <c r="M12" s="142">
        <v>0.4</v>
      </c>
      <c r="N12" s="142">
        <v>0.4</v>
      </c>
      <c r="O12" s="142">
        <v>0.363</v>
      </c>
      <c r="P12" s="36">
        <v>0.376</v>
      </c>
      <c r="Q12" s="36">
        <v>0.422</v>
      </c>
      <c r="R12" s="36">
        <v>0.6</v>
      </c>
      <c r="S12" s="142">
        <v>0.505</v>
      </c>
      <c r="T12" s="142">
        <v>0.523</v>
      </c>
      <c r="U12" s="142">
        <v>0.526</v>
      </c>
      <c r="V12" s="142">
        <v>0.475</v>
      </c>
    </row>
    <row r="13" spans="1:22" ht="15">
      <c r="A13" s="450" t="s">
        <v>711</v>
      </c>
      <c r="B13" s="38">
        <v>5.1</v>
      </c>
      <c r="C13" s="38">
        <v>5.1</v>
      </c>
      <c r="D13" s="38">
        <v>4.2</v>
      </c>
      <c r="E13" s="38">
        <v>4.9</v>
      </c>
      <c r="F13" s="38">
        <v>4.1</v>
      </c>
      <c r="G13" s="38">
        <v>3.9</v>
      </c>
      <c r="H13" s="25">
        <v>3.8</v>
      </c>
      <c r="I13" s="42">
        <v>4.3</v>
      </c>
      <c r="J13" s="36">
        <v>3.789</v>
      </c>
      <c r="K13" s="36">
        <v>3.789</v>
      </c>
      <c r="L13" s="36">
        <f>3.751+0.714</f>
        <v>4.465</v>
      </c>
      <c r="M13" s="142">
        <v>4.8</v>
      </c>
      <c r="N13" s="142">
        <v>6</v>
      </c>
      <c r="O13" s="142">
        <v>5.203</v>
      </c>
      <c r="P13" s="36">
        <v>5.327</v>
      </c>
      <c r="Q13" s="36">
        <v>6.489</v>
      </c>
      <c r="R13" s="36">
        <v>7.4</v>
      </c>
      <c r="S13" s="142">
        <v>6.6</v>
      </c>
      <c r="T13" s="142">
        <v>5.331</v>
      </c>
      <c r="U13" s="142">
        <v>5.006</v>
      </c>
      <c r="V13" s="142">
        <v>5.377</v>
      </c>
    </row>
    <row r="14" spans="1:22" ht="15">
      <c r="A14" s="450" t="s">
        <v>2</v>
      </c>
      <c r="B14" s="42" t="s">
        <v>152</v>
      </c>
      <c r="C14" s="42" t="s">
        <v>152</v>
      </c>
      <c r="D14" s="42" t="s">
        <v>152</v>
      </c>
      <c r="E14" s="38">
        <v>0.1</v>
      </c>
      <c r="F14" s="38">
        <v>0.2</v>
      </c>
      <c r="G14" s="38">
        <v>0.3</v>
      </c>
      <c r="H14" s="42">
        <v>0.4</v>
      </c>
      <c r="I14" s="42">
        <v>0.2</v>
      </c>
      <c r="J14" s="36">
        <v>0.7199999999999989</v>
      </c>
      <c r="K14" s="36">
        <v>0.7199999999999989</v>
      </c>
      <c r="L14" s="36">
        <f>0.14+0.145</f>
        <v>0.28500000000000003</v>
      </c>
      <c r="M14" s="142">
        <v>0.2</v>
      </c>
      <c r="N14" s="142">
        <v>0.3</v>
      </c>
      <c r="O14" s="142">
        <v>0.252</v>
      </c>
      <c r="P14" s="36">
        <v>0.341</v>
      </c>
      <c r="Q14" s="36">
        <v>0.375</v>
      </c>
      <c r="R14" s="36">
        <v>0.4</v>
      </c>
      <c r="S14" s="658">
        <v>0</v>
      </c>
      <c r="T14" s="658">
        <v>0</v>
      </c>
      <c r="U14" s="658">
        <v>0</v>
      </c>
      <c r="V14" s="658">
        <v>0</v>
      </c>
    </row>
    <row r="15" spans="1:22" ht="15">
      <c r="A15" s="450" t="s">
        <v>713</v>
      </c>
      <c r="B15" s="38">
        <v>45.7</v>
      </c>
      <c r="C15" s="38">
        <v>46.4</v>
      </c>
      <c r="D15" s="38">
        <v>45.8</v>
      </c>
      <c r="E15" s="38">
        <v>47.2</v>
      </c>
      <c r="F15" s="38">
        <v>46.5</v>
      </c>
      <c r="G15" s="38">
        <v>44.7</v>
      </c>
      <c r="H15" s="38">
        <v>45</v>
      </c>
      <c r="I15" s="42">
        <v>46.7</v>
      </c>
      <c r="J15" s="36">
        <v>50.433</v>
      </c>
      <c r="K15" s="36">
        <v>50.433</v>
      </c>
      <c r="L15" s="36">
        <f>43.734+7.758</f>
        <v>51.492000000000004</v>
      </c>
      <c r="M15" s="142">
        <v>51.2</v>
      </c>
      <c r="N15" s="142">
        <v>48.5</v>
      </c>
      <c r="O15" s="219">
        <f aca="true" t="shared" si="0" ref="O15:U15">SUM(O6:O14)</f>
        <v>49.08500000000001</v>
      </c>
      <c r="P15" s="219">
        <f t="shared" si="0"/>
        <v>51.21</v>
      </c>
      <c r="Q15" s="219">
        <f t="shared" si="0"/>
        <v>56.21699999999999</v>
      </c>
      <c r="R15" s="219">
        <f t="shared" si="0"/>
        <v>59.099999999999994</v>
      </c>
      <c r="S15" s="219">
        <f t="shared" si="0"/>
        <v>55.587</v>
      </c>
      <c r="T15" s="219">
        <f t="shared" si="0"/>
        <v>49.722</v>
      </c>
      <c r="U15" s="219">
        <f t="shared" si="0"/>
        <v>50.276</v>
      </c>
      <c r="V15" s="219">
        <v>48.56100000000001</v>
      </c>
    </row>
    <row r="16" spans="1:22" ht="15">
      <c r="A16" s="33"/>
      <c r="B16" s="40" t="s">
        <v>292</v>
      </c>
      <c r="C16" s="40" t="s">
        <v>292</v>
      </c>
      <c r="D16" s="40" t="s">
        <v>292</v>
      </c>
      <c r="E16" s="40" t="s">
        <v>292</v>
      </c>
      <c r="F16" s="40" t="s">
        <v>292</v>
      </c>
      <c r="G16" s="40" t="s">
        <v>292</v>
      </c>
      <c r="H16" s="40" t="s">
        <v>292</v>
      </c>
      <c r="I16" s="42"/>
      <c r="J16" s="36"/>
      <c r="K16" s="36"/>
      <c r="L16" s="36"/>
      <c r="M16" s="36"/>
      <c r="N16" s="36"/>
      <c r="O16" s="36"/>
      <c r="S16" s="75"/>
      <c r="T16" s="75"/>
      <c r="U16" s="75"/>
      <c r="V16" s="75"/>
    </row>
    <row r="17" spans="1:22" ht="15.75">
      <c r="A17" s="37" t="s">
        <v>160</v>
      </c>
      <c r="B17" s="38"/>
      <c r="C17" s="38"/>
      <c r="D17" s="38"/>
      <c r="E17" s="38"/>
      <c r="F17" s="38"/>
      <c r="G17" s="38"/>
      <c r="H17" s="38"/>
      <c r="I17" s="42"/>
      <c r="J17" s="36"/>
      <c r="K17" s="36"/>
      <c r="L17" s="36"/>
      <c r="M17" s="36"/>
      <c r="N17" s="36"/>
      <c r="O17" s="36"/>
      <c r="S17" s="75"/>
      <c r="T17" s="75"/>
      <c r="U17" s="75"/>
      <c r="V17" s="75"/>
    </row>
    <row r="18" spans="1:22" ht="15">
      <c r="A18" s="450" t="s">
        <v>690</v>
      </c>
      <c r="B18" s="38">
        <v>6.4</v>
      </c>
      <c r="C18" s="38">
        <v>6.4</v>
      </c>
      <c r="D18" s="38">
        <v>6.2</v>
      </c>
      <c r="E18" s="38">
        <v>6.5</v>
      </c>
      <c r="F18" s="38">
        <v>6.9</v>
      </c>
      <c r="G18" s="38">
        <v>7.1</v>
      </c>
      <c r="H18" s="38">
        <v>6.7</v>
      </c>
      <c r="I18" s="42">
        <v>6.663</v>
      </c>
      <c r="J18" s="36">
        <v>6.855</v>
      </c>
      <c r="K18" s="36">
        <v>6.855</v>
      </c>
      <c r="L18" s="36">
        <f>6.724+0.174</f>
        <v>6.898000000000001</v>
      </c>
      <c r="M18" s="142">
        <v>7.1</v>
      </c>
      <c r="N18" s="142">
        <v>7.5</v>
      </c>
      <c r="O18" s="142">
        <v>7.617</v>
      </c>
      <c r="P18" s="36">
        <v>8.32</v>
      </c>
      <c r="Q18" s="36">
        <v>8.764</v>
      </c>
      <c r="R18" s="36">
        <v>9.5</v>
      </c>
      <c r="S18" s="142">
        <v>9.981</v>
      </c>
      <c r="T18" s="142">
        <v>9.672</v>
      </c>
      <c r="U18" s="142">
        <v>9.8</v>
      </c>
      <c r="V18" s="142">
        <v>10.858</v>
      </c>
    </row>
    <row r="19" spans="1:22" ht="15">
      <c r="A19" s="450" t="s">
        <v>691</v>
      </c>
      <c r="B19" s="38">
        <v>6.8</v>
      </c>
      <c r="C19" s="38">
        <v>6.7</v>
      </c>
      <c r="D19" s="38">
        <v>7.3</v>
      </c>
      <c r="E19" s="38">
        <v>8.3</v>
      </c>
      <c r="F19" s="38">
        <v>8.6</v>
      </c>
      <c r="G19" s="38">
        <v>9</v>
      </c>
      <c r="H19" s="38">
        <v>8.4</v>
      </c>
      <c r="I19" s="42">
        <v>8.743</v>
      </c>
      <c r="J19" s="36">
        <v>8.887</v>
      </c>
      <c r="K19" s="36">
        <v>8.887</v>
      </c>
      <c r="L19" s="36">
        <f>7.166+2.497</f>
        <v>9.663</v>
      </c>
      <c r="M19" s="142">
        <v>9.1</v>
      </c>
      <c r="N19" s="142">
        <v>9.1</v>
      </c>
      <c r="O19" s="142">
        <v>9.009</v>
      </c>
      <c r="P19" s="36">
        <v>9.245</v>
      </c>
      <c r="Q19" s="36">
        <v>9.487</v>
      </c>
      <c r="R19" s="36">
        <v>9.4</v>
      </c>
      <c r="S19" s="142">
        <v>10.915</v>
      </c>
      <c r="T19" s="142">
        <v>10.568</v>
      </c>
      <c r="U19" s="142">
        <v>11.218</v>
      </c>
      <c r="V19" s="142">
        <v>11.337</v>
      </c>
    </row>
    <row r="20" spans="1:22" ht="15">
      <c r="A20" s="450" t="s">
        <v>692</v>
      </c>
      <c r="B20" s="38">
        <v>1.5</v>
      </c>
      <c r="C20" s="38">
        <v>1.7</v>
      </c>
      <c r="D20" s="38">
        <v>2.3</v>
      </c>
      <c r="E20" s="38">
        <v>2.8</v>
      </c>
      <c r="F20" s="38">
        <v>3.2</v>
      </c>
      <c r="G20" s="38">
        <v>2.8</v>
      </c>
      <c r="H20" s="38">
        <v>3.1</v>
      </c>
      <c r="I20" s="42">
        <v>2.474</v>
      </c>
      <c r="J20" s="36">
        <v>2.266</v>
      </c>
      <c r="K20" s="36">
        <v>2.266</v>
      </c>
      <c r="L20" s="36">
        <f>1.839+0.339</f>
        <v>2.178</v>
      </c>
      <c r="M20" s="142">
        <v>2.3</v>
      </c>
      <c r="N20" s="142">
        <v>2</v>
      </c>
      <c r="O20" s="142">
        <v>3.045</v>
      </c>
      <c r="P20" s="36">
        <v>2.718</v>
      </c>
      <c r="Q20" s="36">
        <v>3.469</v>
      </c>
      <c r="R20" s="36">
        <v>4</v>
      </c>
      <c r="S20" s="142">
        <v>3.979</v>
      </c>
      <c r="T20" s="142">
        <v>3.473</v>
      </c>
      <c r="U20" s="142">
        <v>3.831</v>
      </c>
      <c r="V20" s="142">
        <v>3.844</v>
      </c>
    </row>
    <row r="21" spans="1:22" ht="15">
      <c r="A21" s="450" t="s">
        <v>375</v>
      </c>
      <c r="B21" s="38">
        <v>0.5</v>
      </c>
      <c r="C21" s="38">
        <v>0.7</v>
      </c>
      <c r="D21" s="38">
        <v>0.7</v>
      </c>
      <c r="E21" s="38">
        <v>0.5</v>
      </c>
      <c r="F21" s="38">
        <v>0.8</v>
      </c>
      <c r="G21" s="38">
        <v>0.7</v>
      </c>
      <c r="H21" s="38">
        <v>0.7</v>
      </c>
      <c r="I21" s="42">
        <v>0.671</v>
      </c>
      <c r="J21" s="36">
        <v>0.626</v>
      </c>
      <c r="K21" s="36">
        <v>0.626</v>
      </c>
      <c r="L21" s="36">
        <v>0.841</v>
      </c>
      <c r="M21" s="142">
        <v>0.8</v>
      </c>
      <c r="N21" s="142">
        <v>0.8</v>
      </c>
      <c r="O21" s="142">
        <v>0.902</v>
      </c>
      <c r="P21" s="36">
        <v>0.972</v>
      </c>
      <c r="Q21" s="36">
        <v>1.011</v>
      </c>
      <c r="R21" s="36">
        <v>0.7</v>
      </c>
      <c r="S21" s="142">
        <v>0.887</v>
      </c>
      <c r="T21" s="142">
        <v>0.863</v>
      </c>
      <c r="U21" s="142">
        <v>1.029</v>
      </c>
      <c r="V21" s="142">
        <v>0.873</v>
      </c>
    </row>
    <row r="22" spans="1:22" ht="15">
      <c r="A22" s="450" t="s">
        <v>693</v>
      </c>
      <c r="B22" s="38">
        <v>0.9</v>
      </c>
      <c r="C22" s="38">
        <v>0.9</v>
      </c>
      <c r="D22" s="38">
        <v>0.8</v>
      </c>
      <c r="E22" s="38">
        <v>0.9</v>
      </c>
      <c r="F22" s="38">
        <v>1</v>
      </c>
      <c r="G22" s="38">
        <v>1.4</v>
      </c>
      <c r="H22" s="38">
        <v>1.3</v>
      </c>
      <c r="I22" s="42">
        <v>1.6</v>
      </c>
      <c r="J22" s="36">
        <v>1.701</v>
      </c>
      <c r="K22" s="36">
        <v>1.701</v>
      </c>
      <c r="L22" s="36">
        <f>1.891+0.035</f>
        <v>1.926</v>
      </c>
      <c r="M22" s="142">
        <v>1.6</v>
      </c>
      <c r="N22" s="142">
        <v>1.5</v>
      </c>
      <c r="O22" s="142">
        <v>1.534</v>
      </c>
      <c r="P22" s="36">
        <v>1.818</v>
      </c>
      <c r="Q22" s="36">
        <v>1.763</v>
      </c>
      <c r="R22" s="36">
        <v>1.9</v>
      </c>
      <c r="S22" s="142">
        <v>1.68</v>
      </c>
      <c r="T22" s="142">
        <v>1.934</v>
      </c>
      <c r="U22" s="142">
        <v>1.809</v>
      </c>
      <c r="V22" s="142">
        <v>2.17</v>
      </c>
    </row>
    <row r="23" spans="1:22" ht="15">
      <c r="A23" s="450" t="s">
        <v>694</v>
      </c>
      <c r="B23" s="38"/>
      <c r="C23" s="38"/>
      <c r="D23" s="38"/>
      <c r="E23" s="38"/>
      <c r="F23" s="38"/>
      <c r="G23" s="38"/>
      <c r="H23" s="38"/>
      <c r="I23" s="42"/>
      <c r="J23" s="36"/>
      <c r="K23" s="36"/>
      <c r="L23" s="36"/>
      <c r="M23" s="142"/>
      <c r="N23" s="142"/>
      <c r="O23" s="142"/>
      <c r="P23" s="36"/>
      <c r="Q23" s="36" t="s">
        <v>292</v>
      </c>
      <c r="R23" s="36" t="s">
        <v>292</v>
      </c>
      <c r="S23" s="142"/>
      <c r="T23" s="142"/>
      <c r="U23" s="142"/>
      <c r="V23" s="142"/>
    </row>
    <row r="24" spans="1:22" ht="15">
      <c r="A24" s="414" t="s">
        <v>223</v>
      </c>
      <c r="B24" s="38">
        <v>3.1</v>
      </c>
      <c r="C24" s="38">
        <v>2.9</v>
      </c>
      <c r="D24" s="38">
        <v>2.6</v>
      </c>
      <c r="E24" s="38">
        <v>2.6</v>
      </c>
      <c r="F24" s="38">
        <v>2.5</v>
      </c>
      <c r="G24" s="38">
        <v>2.6</v>
      </c>
      <c r="H24" s="38">
        <v>2.1</v>
      </c>
      <c r="I24" s="42">
        <v>2.1</v>
      </c>
      <c r="J24" s="36">
        <v>2.282</v>
      </c>
      <c r="K24" s="36">
        <v>2.282</v>
      </c>
      <c r="L24" s="36">
        <f>1.947+0.144</f>
        <v>2.091</v>
      </c>
      <c r="M24" s="142">
        <v>2</v>
      </c>
      <c r="N24" s="142">
        <v>1.4</v>
      </c>
      <c r="O24" s="142">
        <v>1.148</v>
      </c>
      <c r="P24" s="36">
        <v>0.985</v>
      </c>
      <c r="Q24" s="36">
        <v>1.102</v>
      </c>
      <c r="R24" s="36">
        <v>1</v>
      </c>
      <c r="S24" s="142">
        <v>1.057</v>
      </c>
      <c r="T24" s="142">
        <v>1.22</v>
      </c>
      <c r="U24" s="142">
        <v>1.345</v>
      </c>
      <c r="V24" s="142">
        <v>1.275</v>
      </c>
    </row>
    <row r="25" spans="1:22" ht="15">
      <c r="A25" s="450" t="s">
        <v>695</v>
      </c>
      <c r="B25" s="38">
        <v>0.4</v>
      </c>
      <c r="C25" s="38">
        <v>0.5</v>
      </c>
      <c r="D25" s="38">
        <v>0.9</v>
      </c>
      <c r="E25" s="38">
        <v>0.9</v>
      </c>
      <c r="F25" s="38">
        <v>1.3</v>
      </c>
      <c r="G25" s="38">
        <v>1.3</v>
      </c>
      <c r="H25" s="38">
        <v>1.3</v>
      </c>
      <c r="I25" s="42">
        <v>1.5</v>
      </c>
      <c r="J25" s="36">
        <v>1.349</v>
      </c>
      <c r="K25" s="36">
        <v>1.349</v>
      </c>
      <c r="L25" s="36">
        <f>0.112+1.013</f>
        <v>1.125</v>
      </c>
      <c r="M25" s="142">
        <v>1.3</v>
      </c>
      <c r="N25" s="142">
        <v>1.3</v>
      </c>
      <c r="O25" s="142">
        <v>1.5</v>
      </c>
      <c r="P25" s="36">
        <v>1.594</v>
      </c>
      <c r="Q25" s="36">
        <v>1.776</v>
      </c>
      <c r="R25" s="36">
        <v>1.6</v>
      </c>
      <c r="S25" s="142">
        <v>1.903</v>
      </c>
      <c r="T25" s="142">
        <v>1.625</v>
      </c>
      <c r="U25" s="142">
        <v>1.915</v>
      </c>
      <c r="V25" s="142">
        <v>1.921</v>
      </c>
    </row>
    <row r="26" spans="1:22" ht="18">
      <c r="A26" s="450" t="s">
        <v>696</v>
      </c>
      <c r="B26" s="38">
        <v>40.8</v>
      </c>
      <c r="C26" s="38">
        <v>42.8</v>
      </c>
      <c r="D26" s="38">
        <v>42.7</v>
      </c>
      <c r="E26" s="38">
        <v>33.5</v>
      </c>
      <c r="F26" s="42" t="s">
        <v>152</v>
      </c>
      <c r="G26" s="42" t="s">
        <v>152</v>
      </c>
      <c r="H26" s="42" t="s">
        <v>152</v>
      </c>
      <c r="I26" s="42" t="s">
        <v>152</v>
      </c>
      <c r="J26" s="42" t="s">
        <v>152</v>
      </c>
      <c r="K26" s="36">
        <f>0.927+0.255+0.126+5.324+0.003+0.005+0.472+0.006</f>
        <v>7.118</v>
      </c>
      <c r="L26" s="36">
        <f>0.349+0.002+4.894+0.107+0.693+0.253+0.001</f>
        <v>6.299</v>
      </c>
      <c r="M26" s="152">
        <v>6.076</v>
      </c>
      <c r="N26" s="152">
        <v>6.1</v>
      </c>
      <c r="O26" s="152">
        <v>6.261</v>
      </c>
      <c r="P26" s="36">
        <v>7.599</v>
      </c>
      <c r="Q26" s="36">
        <v>7.446</v>
      </c>
      <c r="R26" s="36">
        <v>6.9</v>
      </c>
      <c r="S26" s="142">
        <v>7.241</v>
      </c>
      <c r="T26" s="142">
        <v>6.94</v>
      </c>
      <c r="U26" s="142">
        <v>7.715</v>
      </c>
      <c r="V26" s="142">
        <v>7.956</v>
      </c>
    </row>
    <row r="27" spans="1:22" ht="15">
      <c r="A27" s="450" t="s">
        <v>697</v>
      </c>
      <c r="B27" s="38">
        <v>6.6</v>
      </c>
      <c r="C27" s="38">
        <v>7.3</v>
      </c>
      <c r="D27" s="38">
        <v>7.6</v>
      </c>
      <c r="E27" s="38">
        <v>7.6</v>
      </c>
      <c r="F27" s="38">
        <v>7.4</v>
      </c>
      <c r="G27" s="38">
        <v>7.2</v>
      </c>
      <c r="H27" s="38">
        <v>7.7</v>
      </c>
      <c r="I27" s="42">
        <v>7.9</v>
      </c>
      <c r="J27" s="36">
        <f>0.927+0.255+0.126+5.324+0.003+0.005+0.472+0.006</f>
        <v>7.118</v>
      </c>
      <c r="K27" s="36">
        <v>12.963</v>
      </c>
      <c r="L27" s="36">
        <f>9.848+0.374</f>
        <v>10.222000000000001</v>
      </c>
      <c r="M27" s="142">
        <v>12.5</v>
      </c>
      <c r="N27" s="142">
        <v>12.2</v>
      </c>
      <c r="O27" s="142">
        <v>12.381</v>
      </c>
      <c r="P27" s="36">
        <v>12.511</v>
      </c>
      <c r="Q27" s="36">
        <v>12.341</v>
      </c>
      <c r="R27" s="36">
        <v>12.5</v>
      </c>
      <c r="S27" s="142">
        <v>12.729</v>
      </c>
      <c r="T27" s="142">
        <v>13.556</v>
      </c>
      <c r="U27" s="142">
        <v>14.128</v>
      </c>
      <c r="V27" s="142">
        <v>15.885</v>
      </c>
    </row>
    <row r="28" spans="1:22" ht="15">
      <c r="A28" s="450" t="s">
        <v>698</v>
      </c>
      <c r="B28" s="38">
        <v>11</v>
      </c>
      <c r="C28" s="38">
        <v>10.7</v>
      </c>
      <c r="D28" s="38">
        <v>11.8</v>
      </c>
      <c r="E28" s="38">
        <v>12.7</v>
      </c>
      <c r="F28" s="38">
        <v>13.2</v>
      </c>
      <c r="G28" s="38">
        <v>13</v>
      </c>
      <c r="H28" s="38">
        <v>12.8</v>
      </c>
      <c r="I28" s="42">
        <v>12</v>
      </c>
      <c r="J28" s="36">
        <v>12.963</v>
      </c>
      <c r="K28" s="36">
        <v>1.891</v>
      </c>
      <c r="L28" s="36">
        <f>1.853+0.021</f>
        <v>1.8739999999999999</v>
      </c>
      <c r="M28" s="142">
        <v>1.8</v>
      </c>
      <c r="N28" s="142">
        <v>1.9</v>
      </c>
      <c r="O28" s="142">
        <v>1.96</v>
      </c>
      <c r="P28" s="36">
        <v>2.156</v>
      </c>
      <c r="Q28" s="36">
        <v>1.987</v>
      </c>
      <c r="R28" s="36">
        <v>2</v>
      </c>
      <c r="S28" s="142">
        <v>1.422</v>
      </c>
      <c r="T28" s="142">
        <v>1.572</v>
      </c>
      <c r="U28" s="142">
        <v>1.627</v>
      </c>
      <c r="V28" s="142">
        <v>1.439</v>
      </c>
    </row>
    <row r="29" spans="1:22" ht="15">
      <c r="A29" s="450" t="s">
        <v>699</v>
      </c>
      <c r="B29" s="38">
        <v>1.451</v>
      </c>
      <c r="C29" s="38">
        <v>1.437</v>
      </c>
      <c r="D29" s="38">
        <v>1.717</v>
      </c>
      <c r="E29" s="38">
        <v>1.531</v>
      </c>
      <c r="F29" s="38">
        <v>1.366</v>
      </c>
      <c r="G29" s="38">
        <v>1.317</v>
      </c>
      <c r="H29" s="38">
        <v>1.6</v>
      </c>
      <c r="I29" s="42">
        <v>1.5</v>
      </c>
      <c r="J29" s="36">
        <v>1.891</v>
      </c>
      <c r="K29" s="36">
        <v>0.666</v>
      </c>
      <c r="L29" s="36">
        <f>0.575+0.056</f>
        <v>0.631</v>
      </c>
      <c r="M29" s="142">
        <v>0.6</v>
      </c>
      <c r="N29" s="142">
        <v>0.7</v>
      </c>
      <c r="O29" s="142">
        <v>0.541</v>
      </c>
      <c r="P29" s="36">
        <v>0.847</v>
      </c>
      <c r="Q29" s="36">
        <v>0.778</v>
      </c>
      <c r="R29" s="36">
        <v>1</v>
      </c>
      <c r="S29" s="142">
        <v>1.465</v>
      </c>
      <c r="T29" s="142">
        <v>1.194</v>
      </c>
      <c r="U29" s="142">
        <v>1.472</v>
      </c>
      <c r="V29" s="142">
        <v>1.071</v>
      </c>
    </row>
    <row r="30" spans="1:22" ht="15">
      <c r="A30" s="450" t="s">
        <v>700</v>
      </c>
      <c r="B30" s="38">
        <v>0.376</v>
      </c>
      <c r="C30" s="38">
        <v>0.552</v>
      </c>
      <c r="D30" s="38">
        <v>0.555</v>
      </c>
      <c r="E30" s="38">
        <v>0.535</v>
      </c>
      <c r="F30" s="38">
        <v>0.856</v>
      </c>
      <c r="G30" s="38">
        <v>0.529</v>
      </c>
      <c r="H30" s="38">
        <v>0.7</v>
      </c>
      <c r="I30" s="42">
        <v>0.7</v>
      </c>
      <c r="J30" s="36">
        <v>0.666</v>
      </c>
      <c r="K30" s="36">
        <v>2.008</v>
      </c>
      <c r="L30" s="36">
        <f>1.83+0.107</f>
        <v>1.937</v>
      </c>
      <c r="M30" s="658">
        <v>0</v>
      </c>
      <c r="N30" s="658">
        <v>0</v>
      </c>
      <c r="O30" s="658">
        <v>0</v>
      </c>
      <c r="P30" s="658">
        <v>0</v>
      </c>
      <c r="Q30" s="658">
        <v>0</v>
      </c>
      <c r="R30" s="658">
        <v>0</v>
      </c>
      <c r="S30" s="658">
        <v>0</v>
      </c>
      <c r="T30" s="658">
        <v>0</v>
      </c>
      <c r="U30" s="658">
        <v>0</v>
      </c>
      <c r="V30" s="658">
        <v>0</v>
      </c>
    </row>
    <row r="31" spans="1:22" ht="18">
      <c r="A31" s="450" t="s">
        <v>701</v>
      </c>
      <c r="B31" s="39" t="s">
        <v>189</v>
      </c>
      <c r="C31" s="39" t="s">
        <v>189</v>
      </c>
      <c r="D31" s="39" t="s">
        <v>189</v>
      </c>
      <c r="E31" s="39" t="s">
        <v>189</v>
      </c>
      <c r="F31" s="38">
        <v>0.361</v>
      </c>
      <c r="G31" s="38">
        <v>0.946</v>
      </c>
      <c r="H31" s="38">
        <v>1.5</v>
      </c>
      <c r="I31" s="42">
        <v>2.1</v>
      </c>
      <c r="J31" s="36">
        <v>2.008</v>
      </c>
      <c r="K31" s="658">
        <v>0</v>
      </c>
      <c r="L31" s="658">
        <v>0</v>
      </c>
      <c r="M31" s="39">
        <v>1.745</v>
      </c>
      <c r="N31" s="39">
        <v>1.69</v>
      </c>
      <c r="O31" s="142">
        <v>1.525</v>
      </c>
      <c r="P31" s="36">
        <v>1.608</v>
      </c>
      <c r="Q31" s="36">
        <v>1.663</v>
      </c>
      <c r="R31" s="36">
        <v>2.3</v>
      </c>
      <c r="S31" s="142">
        <v>2.106</v>
      </c>
      <c r="T31" s="142">
        <v>2.152</v>
      </c>
      <c r="U31" s="142">
        <v>1.94</v>
      </c>
      <c r="V31" s="142">
        <v>2.15</v>
      </c>
    </row>
    <row r="32" spans="1:22" ht="15">
      <c r="A32" s="450" t="s">
        <v>683</v>
      </c>
      <c r="B32" s="39"/>
      <c r="C32" s="39"/>
      <c r="D32" s="39"/>
      <c r="E32" s="39"/>
      <c r="F32" s="38"/>
      <c r="G32" s="38"/>
      <c r="H32" s="38"/>
      <c r="I32" s="42"/>
      <c r="J32" s="36"/>
      <c r="K32" s="658">
        <v>0</v>
      </c>
      <c r="L32" s="658">
        <v>0</v>
      </c>
      <c r="M32" s="663">
        <v>0</v>
      </c>
      <c r="N32" s="663">
        <v>0.541</v>
      </c>
      <c r="O32" s="659">
        <v>0.964</v>
      </c>
      <c r="P32" s="660">
        <v>1.209</v>
      </c>
      <c r="Q32" s="660">
        <v>1.407</v>
      </c>
      <c r="R32" s="660">
        <v>1.305</v>
      </c>
      <c r="S32" s="659">
        <v>1.251</v>
      </c>
      <c r="T32" s="659">
        <v>1.517</v>
      </c>
      <c r="U32" s="659">
        <v>1.496</v>
      </c>
      <c r="V32" s="659">
        <v>1.325</v>
      </c>
    </row>
    <row r="33" spans="1:22" ht="15">
      <c r="A33" s="450" t="s">
        <v>684</v>
      </c>
      <c r="B33" s="39"/>
      <c r="C33" s="39"/>
      <c r="D33" s="39"/>
      <c r="E33" s="39"/>
      <c r="F33" s="38"/>
      <c r="G33" s="38"/>
      <c r="H33" s="38"/>
      <c r="I33" s="42"/>
      <c r="J33" s="36"/>
      <c r="K33" s="658">
        <v>0.435</v>
      </c>
      <c r="L33" s="658">
        <v>0.554</v>
      </c>
      <c r="M33" s="663">
        <v>0.698</v>
      </c>
      <c r="N33" s="663">
        <v>0.56</v>
      </c>
      <c r="O33" s="663">
        <v>0.46</v>
      </c>
      <c r="P33" s="659">
        <v>0.533</v>
      </c>
      <c r="Q33" s="660">
        <v>0.541</v>
      </c>
      <c r="R33" s="660">
        <v>0.487</v>
      </c>
      <c r="S33" s="660">
        <v>0.452</v>
      </c>
      <c r="T33" s="659">
        <v>0.365</v>
      </c>
      <c r="U33" s="659">
        <v>0.438</v>
      </c>
      <c r="V33" s="659">
        <v>0.557</v>
      </c>
    </row>
    <row r="34" spans="1:22" ht="15">
      <c r="A34" s="450" t="s">
        <v>685</v>
      </c>
      <c r="B34" s="39"/>
      <c r="C34" s="39"/>
      <c r="D34" s="39"/>
      <c r="E34" s="39"/>
      <c r="F34" s="38"/>
      <c r="G34" s="38"/>
      <c r="H34" s="38"/>
      <c r="I34" s="42"/>
      <c r="J34" s="36"/>
      <c r="K34" s="658">
        <v>0.001</v>
      </c>
      <c r="L34" s="658">
        <v>0.004</v>
      </c>
      <c r="M34" s="663">
        <v>0.003</v>
      </c>
      <c r="N34" s="663">
        <v>0</v>
      </c>
      <c r="O34" s="659">
        <v>0.089</v>
      </c>
      <c r="P34" s="660">
        <v>0.103</v>
      </c>
      <c r="Q34" s="660">
        <v>0.236</v>
      </c>
      <c r="R34" s="660">
        <v>0.211</v>
      </c>
      <c r="S34" s="659">
        <v>0.177</v>
      </c>
      <c r="T34" s="659">
        <v>0.203</v>
      </c>
      <c r="U34" s="659">
        <v>0.264</v>
      </c>
      <c r="V34" s="659">
        <v>0.321</v>
      </c>
    </row>
    <row r="35" spans="1:22" ht="15">
      <c r="A35" s="450" t="s">
        <v>686</v>
      </c>
      <c r="B35" s="39"/>
      <c r="C35" s="39"/>
      <c r="D35" s="39"/>
      <c r="E35" s="39"/>
      <c r="F35" s="38"/>
      <c r="G35" s="38"/>
      <c r="H35" s="38"/>
      <c r="I35" s="42"/>
      <c r="J35" s="36"/>
      <c r="K35" s="658">
        <v>0</v>
      </c>
      <c r="L35" s="658">
        <v>0</v>
      </c>
      <c r="M35" s="663">
        <v>0.052</v>
      </c>
      <c r="N35" s="663">
        <v>0.185</v>
      </c>
      <c r="O35" s="659">
        <v>0.208</v>
      </c>
      <c r="P35" s="660">
        <v>0.241</v>
      </c>
      <c r="Q35" s="660">
        <v>0.322</v>
      </c>
      <c r="R35" s="660">
        <v>0.295</v>
      </c>
      <c r="S35" s="659">
        <v>0.345</v>
      </c>
      <c r="T35" s="659">
        <v>0.365</v>
      </c>
      <c r="U35" s="659">
        <v>0.294</v>
      </c>
      <c r="V35" s="659">
        <v>0.319</v>
      </c>
    </row>
    <row r="36" spans="1:22" ht="15">
      <c r="A36" s="450" t="s">
        <v>687</v>
      </c>
      <c r="B36" s="39"/>
      <c r="C36" s="39"/>
      <c r="D36" s="39"/>
      <c r="E36" s="39"/>
      <c r="F36" s="38"/>
      <c r="G36" s="38"/>
      <c r="H36" s="38"/>
      <c r="I36" s="42"/>
      <c r="J36" s="36"/>
      <c r="K36" s="658">
        <v>0.24</v>
      </c>
      <c r="L36" s="658">
        <v>0.221</v>
      </c>
      <c r="M36" s="663">
        <v>0.295</v>
      </c>
      <c r="N36" s="663">
        <v>0.429</v>
      </c>
      <c r="O36" s="659">
        <v>0.309</v>
      </c>
      <c r="P36" s="660">
        <v>0.25</v>
      </c>
      <c r="Q36" s="660">
        <v>0.309</v>
      </c>
      <c r="R36" s="660">
        <v>0.292</v>
      </c>
      <c r="S36" s="659">
        <v>0.289</v>
      </c>
      <c r="T36" s="659">
        <v>0.309</v>
      </c>
      <c r="U36" s="659">
        <v>0.3</v>
      </c>
      <c r="V36" s="659">
        <v>0.271</v>
      </c>
    </row>
    <row r="37" spans="1:22" ht="15">
      <c r="A37" s="450" t="s">
        <v>688</v>
      </c>
      <c r="B37" s="39"/>
      <c r="C37" s="39"/>
      <c r="D37" s="39"/>
      <c r="E37" s="39"/>
      <c r="F37" s="38"/>
      <c r="G37" s="38"/>
      <c r="H37" s="38"/>
      <c r="I37" s="42"/>
      <c r="J37" s="36"/>
      <c r="K37" s="658">
        <v>0.623</v>
      </c>
      <c r="L37" s="658">
        <v>0.465</v>
      </c>
      <c r="M37" s="663">
        <v>0.505</v>
      </c>
      <c r="N37" s="663">
        <v>0.507</v>
      </c>
      <c r="O37" s="659">
        <v>0.5</v>
      </c>
      <c r="P37" s="660">
        <v>0.432</v>
      </c>
      <c r="Q37" s="660">
        <v>0.521</v>
      </c>
      <c r="R37" s="660">
        <v>0.532</v>
      </c>
      <c r="S37" s="659">
        <v>0.615</v>
      </c>
      <c r="T37" s="659">
        <v>0.535</v>
      </c>
      <c r="U37" s="659">
        <v>0.601</v>
      </c>
      <c r="V37" s="659">
        <v>0.636</v>
      </c>
    </row>
    <row r="38" spans="1:22" ht="15">
      <c r="A38" s="662" t="s">
        <v>689</v>
      </c>
      <c r="B38" s="41"/>
      <c r="C38" s="41"/>
      <c r="D38" s="41"/>
      <c r="E38" s="41"/>
      <c r="F38" s="41"/>
      <c r="G38" s="41"/>
      <c r="H38" s="38"/>
      <c r="I38" s="42"/>
      <c r="J38" s="36"/>
      <c r="K38" s="660">
        <v>0.008</v>
      </c>
      <c r="L38" s="660">
        <v>0.026</v>
      </c>
      <c r="M38" s="660">
        <v>0.036</v>
      </c>
      <c r="N38" s="660">
        <v>0.04</v>
      </c>
      <c r="O38" s="659">
        <v>0.052</v>
      </c>
      <c r="P38" s="660">
        <v>0.051</v>
      </c>
      <c r="Q38" s="660">
        <v>0.024</v>
      </c>
      <c r="R38" s="660">
        <v>0.03</v>
      </c>
      <c r="S38" s="659">
        <v>0.016</v>
      </c>
      <c r="T38" s="659">
        <v>0.026</v>
      </c>
      <c r="U38" s="659">
        <v>0.017</v>
      </c>
      <c r="V38" s="659">
        <v>0.018</v>
      </c>
    </row>
    <row r="39" spans="1:22" ht="15">
      <c r="A39" s="33" t="s">
        <v>227</v>
      </c>
      <c r="B39" s="38">
        <v>81.6</v>
      </c>
      <c r="C39" s="38">
        <v>84.5</v>
      </c>
      <c r="D39" s="38">
        <v>87.3</v>
      </c>
      <c r="E39" s="38">
        <v>80.6</v>
      </c>
      <c r="F39" s="38">
        <v>49.9</v>
      </c>
      <c r="G39" s="38">
        <v>50.7</v>
      </c>
      <c r="H39" s="38">
        <v>49.9</v>
      </c>
      <c r="I39" s="42">
        <v>49.3</v>
      </c>
      <c r="J39" s="36">
        <v>49.955</v>
      </c>
      <c r="K39" s="36">
        <v>49.955</v>
      </c>
      <c r="L39" s="36">
        <f>41.82+5.153</f>
        <v>46.973</v>
      </c>
      <c r="M39" s="219">
        <f aca="true" t="shared" si="1" ref="M39:V39">SUM(M18:M38)</f>
        <v>48.510000000000005</v>
      </c>
      <c r="N39" s="219">
        <f t="shared" si="1"/>
        <v>48.452000000000005</v>
      </c>
      <c r="O39" s="219">
        <f t="shared" si="1"/>
        <v>50.00499999999999</v>
      </c>
      <c r="P39" s="219">
        <f t="shared" si="1"/>
        <v>53.19200000000001</v>
      </c>
      <c r="Q39" s="219">
        <f t="shared" si="1"/>
        <v>54.946999999999996</v>
      </c>
      <c r="R39" s="219">
        <f t="shared" si="1"/>
        <v>55.952</v>
      </c>
      <c r="S39" s="219">
        <f t="shared" si="1"/>
        <v>58.51</v>
      </c>
      <c r="T39" s="219">
        <f t="shared" si="1"/>
        <v>58.08900000000001</v>
      </c>
      <c r="U39" s="219">
        <f t="shared" si="1"/>
        <v>61.239000000000004</v>
      </c>
      <c r="V39" s="219">
        <f t="shared" si="1"/>
        <v>64.226</v>
      </c>
    </row>
    <row r="40" spans="1:15" ht="15">
      <c r="A40" s="33"/>
      <c r="B40" s="40" t="s">
        <v>292</v>
      </c>
      <c r="C40" s="40" t="s">
        <v>292</v>
      </c>
      <c r="D40" s="40" t="s">
        <v>292</v>
      </c>
      <c r="E40" s="40" t="s">
        <v>292</v>
      </c>
      <c r="F40" s="40" t="s">
        <v>292</v>
      </c>
      <c r="G40" s="40" t="s">
        <v>292</v>
      </c>
      <c r="H40" s="40" t="s">
        <v>292</v>
      </c>
      <c r="I40" s="42"/>
      <c r="J40" s="36"/>
      <c r="K40" s="36"/>
      <c r="L40" s="36"/>
      <c r="M40" s="142"/>
      <c r="N40" s="142"/>
      <c r="O40" s="142"/>
    </row>
    <row r="41" spans="1:22" ht="15.75">
      <c r="A41" s="293" t="s">
        <v>141</v>
      </c>
      <c r="B41" s="35">
        <v>127.3</v>
      </c>
      <c r="C41" s="35">
        <v>131</v>
      </c>
      <c r="D41" s="35">
        <v>133.1</v>
      </c>
      <c r="E41" s="35">
        <v>127.8</v>
      </c>
      <c r="F41" s="35">
        <v>96.4</v>
      </c>
      <c r="G41" s="35">
        <v>95.4</v>
      </c>
      <c r="H41" s="35">
        <v>94.9</v>
      </c>
      <c r="I41" s="42">
        <v>96</v>
      </c>
      <c r="J41" s="36">
        <v>100.388</v>
      </c>
      <c r="K41" s="428">
        <f aca="true" t="shared" si="2" ref="K41:R41">SUM(K15,K39)</f>
        <v>100.388</v>
      </c>
      <c r="L41" s="428">
        <f t="shared" si="2"/>
        <v>98.465</v>
      </c>
      <c r="M41" s="428">
        <f t="shared" si="2"/>
        <v>99.71000000000001</v>
      </c>
      <c r="N41" s="428">
        <f t="shared" si="2"/>
        <v>96.952</v>
      </c>
      <c r="O41" s="428">
        <f t="shared" si="2"/>
        <v>99.09</v>
      </c>
      <c r="P41" s="428">
        <f t="shared" si="2"/>
        <v>104.40200000000002</v>
      </c>
      <c r="Q41" s="428">
        <f t="shared" si="2"/>
        <v>111.16399999999999</v>
      </c>
      <c r="R41" s="428">
        <f t="shared" si="2"/>
        <v>115.05199999999999</v>
      </c>
      <c r="S41" s="428">
        <f>SUM(S15,S39)</f>
        <v>114.09700000000001</v>
      </c>
      <c r="T41" s="428">
        <f>SUM(T15,T39)</f>
        <v>107.811</v>
      </c>
      <c r="U41" s="428">
        <f>SUM(U15,U39)</f>
        <v>111.51500000000001</v>
      </c>
      <c r="V41" s="428">
        <f>SUM(V15,V39)</f>
        <v>112.787</v>
      </c>
    </row>
    <row r="42" spans="1:20" s="5" customFormat="1" ht="18" customHeight="1">
      <c r="A42" s="5" t="s">
        <v>602</v>
      </c>
      <c r="K42" s="429"/>
      <c r="L42" s="429"/>
      <c r="M42" s="429"/>
      <c r="N42" s="429"/>
      <c r="P42" s="424"/>
      <c r="Q42" s="424"/>
      <c r="R42" s="430"/>
      <c r="S42" s="430"/>
      <c r="T42" s="430"/>
    </row>
    <row r="43" s="5" customFormat="1" ht="16.5" customHeight="1">
      <c r="A43" s="5" t="s">
        <v>229</v>
      </c>
    </row>
    <row r="44" s="5" customFormat="1" ht="14.25" customHeight="1">
      <c r="A44" s="5" t="s">
        <v>680</v>
      </c>
    </row>
    <row r="45" s="5" customFormat="1" ht="12.75">
      <c r="A45" s="5" t="s">
        <v>681</v>
      </c>
    </row>
    <row r="46" s="5" customFormat="1" ht="12.75">
      <c r="A46" s="5" t="s">
        <v>682</v>
      </c>
    </row>
    <row r="47" s="5" customFormat="1" ht="12.75">
      <c r="A47" s="5" t="s">
        <v>562</v>
      </c>
    </row>
    <row r="48" s="5" customFormat="1" ht="12.75">
      <c r="A48" s="5" t="s">
        <v>751</v>
      </c>
    </row>
    <row r="49" s="5" customFormat="1" ht="12.75">
      <c r="A49" s="5" t="s">
        <v>679</v>
      </c>
    </row>
  </sheetData>
  <sheetProtection/>
  <mergeCells count="1">
    <mergeCell ref="K3:U3"/>
  </mergeCells>
  <printOptions/>
  <pageMargins left="0.75" right="0.75" top="1" bottom="1" header="0.5" footer="0.5"/>
  <pageSetup fitToHeight="1" fitToWidth="1" horizontalDpi="96" verticalDpi="96" orientation="portrait" paperSize="9" scale="56" r:id="rId1"/>
  <headerFooter alignWithMargins="0">
    <oddHeader>&amp;R&amp;"Arial,Bold"&amp;16WATER TRANSPORT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80" zoomScaleNormal="80" zoomScalePageLayoutView="0" workbookViewId="0" topLeftCell="A1">
      <pane xSplit="2" topLeftCell="F1" activePane="topRight" state="frozen"/>
      <selection pane="topLeft" activeCell="A67" sqref="A67"/>
      <selection pane="topRight" activeCell="A67" sqref="A67"/>
    </sheetView>
  </sheetViews>
  <sheetFormatPr defaultColWidth="9.140625" defaultRowHeight="12.75"/>
  <cols>
    <col min="1" max="1" width="28.7109375" style="0" customWidth="1"/>
    <col min="2" max="2" width="8.7109375" style="0" hidden="1" customWidth="1"/>
    <col min="3" max="12" width="8.7109375" style="0" customWidth="1"/>
    <col min="13" max="13" width="9.421875" style="0" bestFit="1" customWidth="1"/>
    <col min="14" max="14" width="9.57421875" style="0" customWidth="1"/>
  </cols>
  <sheetData>
    <row r="1" spans="1:12" s="79" customFormat="1" ht="18.75" thickBot="1">
      <c r="A1" s="78" t="s">
        <v>262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s="25" customFormat="1" ht="21" customHeight="1" thickBot="1">
      <c r="A2" s="82"/>
      <c r="B2" s="80">
        <v>1987</v>
      </c>
      <c r="C2" s="80">
        <v>1988</v>
      </c>
      <c r="D2" s="80">
        <v>1989</v>
      </c>
      <c r="E2" s="80">
        <v>1990</v>
      </c>
      <c r="F2" s="80">
        <v>1991</v>
      </c>
      <c r="G2" s="80">
        <v>1992</v>
      </c>
      <c r="H2" s="80">
        <v>1993</v>
      </c>
      <c r="I2" s="80">
        <v>1994</v>
      </c>
      <c r="J2" s="80">
        <v>1995</v>
      </c>
      <c r="K2" s="80">
        <v>1996</v>
      </c>
      <c r="L2" s="80">
        <v>1997</v>
      </c>
      <c r="M2" s="83" t="s">
        <v>282</v>
      </c>
      <c r="N2" s="118" t="s">
        <v>283</v>
      </c>
    </row>
    <row r="3" spans="1:14" ht="18.75">
      <c r="A3" s="2" t="s">
        <v>190</v>
      </c>
      <c r="B3" s="9"/>
      <c r="C3" s="9"/>
      <c r="D3" s="9"/>
      <c r="E3" s="9"/>
      <c r="F3" s="9"/>
      <c r="G3" s="9"/>
      <c r="H3" s="9"/>
      <c r="I3" s="9"/>
      <c r="K3" s="4"/>
      <c r="L3" s="4"/>
      <c r="N3" s="15" t="s">
        <v>191</v>
      </c>
    </row>
    <row r="4" spans="1:16" ht="15">
      <c r="A4" s="5" t="s">
        <v>192</v>
      </c>
      <c r="B4" s="7">
        <v>1025</v>
      </c>
      <c r="C4" s="26">
        <v>1120</v>
      </c>
      <c r="D4" s="26">
        <v>1231</v>
      </c>
      <c r="E4" s="26">
        <v>1273</v>
      </c>
      <c r="F4" s="26">
        <v>1309</v>
      </c>
      <c r="G4" s="26">
        <v>1296</v>
      </c>
      <c r="H4" s="26">
        <v>1296</v>
      </c>
      <c r="I4" s="26">
        <v>1304</v>
      </c>
      <c r="J4" s="26">
        <v>1322</v>
      </c>
      <c r="K4" s="26">
        <v>937</v>
      </c>
      <c r="L4" s="26">
        <v>930</v>
      </c>
      <c r="M4" s="28">
        <v>905</v>
      </c>
      <c r="N4" s="62">
        <v>895</v>
      </c>
      <c r="P4" s="116"/>
    </row>
    <row r="5" spans="1:14" ht="15">
      <c r="A5" t="s">
        <v>193</v>
      </c>
      <c r="B5" s="7">
        <v>110</v>
      </c>
      <c r="C5" s="26">
        <v>111</v>
      </c>
      <c r="D5" s="26">
        <v>122</v>
      </c>
      <c r="E5" s="26">
        <v>125</v>
      </c>
      <c r="F5" s="26">
        <v>126</v>
      </c>
      <c r="G5" s="26">
        <v>127</v>
      </c>
      <c r="H5" s="26">
        <v>131</v>
      </c>
      <c r="I5" s="26">
        <v>133</v>
      </c>
      <c r="J5" s="26">
        <v>128</v>
      </c>
      <c r="K5" s="26">
        <v>96</v>
      </c>
      <c r="L5" s="26">
        <v>95</v>
      </c>
      <c r="M5" s="28">
        <v>95</v>
      </c>
      <c r="N5" s="62">
        <v>96</v>
      </c>
    </row>
    <row r="6" spans="1:14" ht="15">
      <c r="A6" t="s">
        <v>194</v>
      </c>
      <c r="B6" s="7">
        <v>5094</v>
      </c>
      <c r="C6" s="26">
        <v>5355</v>
      </c>
      <c r="D6" s="26">
        <v>5835</v>
      </c>
      <c r="E6" s="26">
        <v>6157</v>
      </c>
      <c r="F6" s="26">
        <v>6394</v>
      </c>
      <c r="G6" s="26">
        <v>6214</v>
      </c>
      <c r="H6" s="26">
        <v>6201</v>
      </c>
      <c r="I6" s="26">
        <v>6194</v>
      </c>
      <c r="J6" s="26">
        <v>6377</v>
      </c>
      <c r="K6" s="26">
        <v>5077</v>
      </c>
      <c r="L6" s="26">
        <v>5110</v>
      </c>
      <c r="M6" s="28">
        <v>4818</v>
      </c>
      <c r="N6" s="49">
        <v>4803</v>
      </c>
    </row>
    <row r="7" spans="1:14" ht="15">
      <c r="A7" s="1" t="s">
        <v>291</v>
      </c>
      <c r="B7" s="1"/>
      <c r="C7" s="33"/>
      <c r="D7" s="33"/>
      <c r="E7" s="33"/>
      <c r="F7" s="33"/>
      <c r="G7" s="33"/>
      <c r="H7" s="33"/>
      <c r="I7" s="33"/>
      <c r="J7" s="34"/>
      <c r="K7" s="25"/>
      <c r="L7" s="25"/>
      <c r="N7" s="96" t="s">
        <v>195</v>
      </c>
    </row>
    <row r="8" spans="1:14" ht="15">
      <c r="A8" s="1" t="s">
        <v>196</v>
      </c>
      <c r="B8" s="1">
        <v>4.9</v>
      </c>
      <c r="C8" s="35">
        <v>4.4</v>
      </c>
      <c r="D8" s="35">
        <v>3.8</v>
      </c>
      <c r="E8" s="35">
        <v>4</v>
      </c>
      <c r="F8" s="35">
        <v>3.4</v>
      </c>
      <c r="G8" s="35">
        <v>3.3</v>
      </c>
      <c r="H8" s="35">
        <v>3.3</v>
      </c>
      <c r="I8" s="35">
        <v>3.1</v>
      </c>
      <c r="J8" s="35">
        <v>3</v>
      </c>
      <c r="K8" s="35">
        <v>3</v>
      </c>
      <c r="L8" s="36">
        <v>3</v>
      </c>
      <c r="M8" s="71">
        <v>3</v>
      </c>
      <c r="N8" s="71">
        <v>3</v>
      </c>
    </row>
    <row r="9" spans="1:13" ht="15">
      <c r="A9" s="1"/>
      <c r="B9" s="10"/>
      <c r="C9" s="27"/>
      <c r="D9" s="27"/>
      <c r="E9" s="27"/>
      <c r="F9" s="27"/>
      <c r="G9" s="27"/>
      <c r="H9" s="27"/>
      <c r="I9" s="27"/>
      <c r="J9" s="27"/>
      <c r="K9" s="27"/>
      <c r="L9" s="26"/>
      <c r="M9" s="68"/>
    </row>
    <row r="10" spans="1:14" ht="15">
      <c r="A10" s="1"/>
      <c r="B10" s="1"/>
      <c r="C10" s="33"/>
      <c r="D10" s="33"/>
      <c r="E10" s="33"/>
      <c r="F10" s="33"/>
      <c r="G10" s="33"/>
      <c r="H10" s="33"/>
      <c r="I10" s="33"/>
      <c r="J10" s="33"/>
      <c r="K10" s="25"/>
      <c r="L10" s="25"/>
      <c r="N10" s="96" t="s">
        <v>197</v>
      </c>
    </row>
    <row r="11" spans="1:14" ht="15">
      <c r="A11" s="1" t="s">
        <v>198</v>
      </c>
      <c r="B11" s="10">
        <v>17294</v>
      </c>
      <c r="C11" s="27">
        <v>19310</v>
      </c>
      <c r="D11" s="27">
        <v>20583</v>
      </c>
      <c r="E11" s="27">
        <v>23287</v>
      </c>
      <c r="F11" s="27">
        <v>25866</v>
      </c>
      <c r="G11" s="27">
        <v>26929</v>
      </c>
      <c r="H11" s="27">
        <v>28677</v>
      </c>
      <c r="I11" s="27">
        <v>30694</v>
      </c>
      <c r="J11" s="27">
        <v>34200</v>
      </c>
      <c r="K11" s="26">
        <v>34753</v>
      </c>
      <c r="L11" s="26">
        <v>36241</v>
      </c>
      <c r="M11" s="68">
        <v>36544</v>
      </c>
      <c r="N11" s="68">
        <v>37429</v>
      </c>
    </row>
    <row r="12" spans="1:14" ht="15">
      <c r="A12" s="11" t="s">
        <v>199</v>
      </c>
      <c r="B12" s="10">
        <v>6224</v>
      </c>
      <c r="C12" s="27">
        <v>5260</v>
      </c>
      <c r="D12" s="27">
        <v>5548</v>
      </c>
      <c r="E12" s="27">
        <v>5499</v>
      </c>
      <c r="F12" s="27">
        <v>5800</v>
      </c>
      <c r="G12" s="27">
        <v>6050</v>
      </c>
      <c r="H12" s="27">
        <v>10600</v>
      </c>
      <c r="I12" s="27">
        <v>6730</v>
      </c>
      <c r="J12" s="27">
        <v>8282</v>
      </c>
      <c r="K12" s="26">
        <v>11674</v>
      </c>
      <c r="L12" s="26">
        <v>10310</v>
      </c>
      <c r="M12" s="68">
        <v>14436</v>
      </c>
      <c r="N12" s="68">
        <v>14975</v>
      </c>
    </row>
    <row r="13" spans="1:13" ht="15">
      <c r="A13" s="1"/>
      <c r="B13" s="1"/>
      <c r="C13" s="33"/>
      <c r="D13" s="33"/>
      <c r="E13" s="33"/>
      <c r="F13" s="33"/>
      <c r="G13" s="33"/>
      <c r="H13" s="33"/>
      <c r="I13" s="33"/>
      <c r="J13" s="33"/>
      <c r="K13" s="25"/>
      <c r="L13" s="25"/>
      <c r="M13" s="72"/>
    </row>
    <row r="14" spans="1:14" ht="15.75">
      <c r="A14" s="2" t="s">
        <v>200</v>
      </c>
      <c r="B14" s="9"/>
      <c r="C14" s="37"/>
      <c r="D14" s="37"/>
      <c r="E14" s="37"/>
      <c r="F14" s="37"/>
      <c r="G14" s="37"/>
      <c r="H14" s="37"/>
      <c r="I14" s="37"/>
      <c r="J14" s="25"/>
      <c r="K14" s="25"/>
      <c r="L14" s="25"/>
      <c r="N14" s="96" t="s">
        <v>191</v>
      </c>
    </row>
    <row r="15" spans="1:14" ht="15">
      <c r="A15" s="5" t="s">
        <v>192</v>
      </c>
      <c r="B15" s="14">
        <v>35.2</v>
      </c>
      <c r="C15" s="26">
        <v>38.2</v>
      </c>
      <c r="D15" s="26">
        <v>44.6</v>
      </c>
      <c r="E15" s="26">
        <v>46.6</v>
      </c>
      <c r="F15" s="26">
        <v>46</v>
      </c>
      <c r="G15" s="26">
        <v>48</v>
      </c>
      <c r="H15" s="26">
        <v>49</v>
      </c>
      <c r="I15" s="26">
        <v>50</v>
      </c>
      <c r="J15" s="26">
        <v>53</v>
      </c>
      <c r="K15" s="26">
        <v>58</v>
      </c>
      <c r="L15" s="26">
        <v>60</v>
      </c>
      <c r="M15" s="32">
        <v>60</v>
      </c>
      <c r="N15" s="98"/>
    </row>
    <row r="16" spans="1:14" ht="15">
      <c r="A16" t="s">
        <v>193</v>
      </c>
      <c r="B16" s="14">
        <v>12.6</v>
      </c>
      <c r="C16" s="26">
        <v>12.8</v>
      </c>
      <c r="D16" s="26">
        <v>15.2</v>
      </c>
      <c r="E16" s="26">
        <v>16.4</v>
      </c>
      <c r="F16" s="26">
        <v>14.8</v>
      </c>
      <c r="G16" s="26">
        <v>12.9</v>
      </c>
      <c r="H16" s="26">
        <v>12.6</v>
      </c>
      <c r="I16" s="26">
        <v>12.3</v>
      </c>
      <c r="J16" s="26">
        <v>13.8</v>
      </c>
      <c r="K16" s="26">
        <v>14.5</v>
      </c>
      <c r="L16" s="26">
        <v>15.6</v>
      </c>
      <c r="M16" s="32">
        <v>17</v>
      </c>
      <c r="N16" s="98"/>
    </row>
    <row r="17" spans="1:14" ht="15">
      <c r="A17" t="s">
        <v>194</v>
      </c>
      <c r="B17" s="14">
        <v>184</v>
      </c>
      <c r="C17" s="27">
        <v>200.6</v>
      </c>
      <c r="D17" s="27">
        <v>222</v>
      </c>
      <c r="E17" s="27">
        <v>231.2</v>
      </c>
      <c r="F17" s="27">
        <v>233.3</v>
      </c>
      <c r="G17" s="27">
        <v>225.8</v>
      </c>
      <c r="H17" s="27">
        <v>213.9</v>
      </c>
      <c r="I17" s="27">
        <v>214</v>
      </c>
      <c r="J17" s="26">
        <v>220</v>
      </c>
      <c r="K17" s="26">
        <v>236</v>
      </c>
      <c r="L17" s="76">
        <v>245</v>
      </c>
      <c r="M17" s="68">
        <v>239</v>
      </c>
      <c r="N17" s="98"/>
    </row>
    <row r="18" spans="1:14" ht="15">
      <c r="A18" s="1"/>
      <c r="B18" s="1"/>
      <c r="C18" s="33"/>
      <c r="D18" s="33"/>
      <c r="E18" s="33"/>
      <c r="F18" s="33"/>
      <c r="G18" s="33"/>
      <c r="H18" s="33"/>
      <c r="I18" s="33"/>
      <c r="J18" s="34"/>
      <c r="K18" s="25"/>
      <c r="L18" s="25"/>
      <c r="N18" s="96" t="s">
        <v>195</v>
      </c>
    </row>
    <row r="19" spans="1:14" ht="15">
      <c r="A19" s="1" t="s">
        <v>196</v>
      </c>
      <c r="B19" s="14">
        <v>29</v>
      </c>
      <c r="C19" s="38">
        <v>40.8</v>
      </c>
      <c r="D19" s="38">
        <v>47.5</v>
      </c>
      <c r="E19" s="38">
        <v>48.4</v>
      </c>
      <c r="F19" s="38">
        <v>38.9</v>
      </c>
      <c r="G19" s="38">
        <v>32.9</v>
      </c>
      <c r="H19" s="38">
        <v>40.9</v>
      </c>
      <c r="I19" s="38">
        <v>43</v>
      </c>
      <c r="J19" s="38">
        <v>52</v>
      </c>
      <c r="K19" s="35">
        <v>62</v>
      </c>
      <c r="L19" s="36">
        <v>60</v>
      </c>
      <c r="M19" s="73">
        <v>52</v>
      </c>
      <c r="N19" s="98"/>
    </row>
    <row r="20" spans="1:13" ht="15">
      <c r="A20" s="1"/>
      <c r="B20" s="10"/>
      <c r="C20" s="27"/>
      <c r="D20" s="27"/>
      <c r="E20" s="27"/>
      <c r="F20" s="27"/>
      <c r="G20" s="27"/>
      <c r="H20" s="27"/>
      <c r="I20" s="27"/>
      <c r="J20" s="27"/>
      <c r="K20" s="27"/>
      <c r="L20" s="26"/>
      <c r="M20" s="68"/>
    </row>
    <row r="21" spans="1:14" ht="15">
      <c r="A21" s="1"/>
      <c r="B21" s="1"/>
      <c r="C21" s="33"/>
      <c r="D21" s="33"/>
      <c r="E21" s="33"/>
      <c r="F21" s="33"/>
      <c r="G21" s="33"/>
      <c r="H21" s="33"/>
      <c r="I21" s="33"/>
      <c r="J21" s="33"/>
      <c r="K21" s="25"/>
      <c r="L21" s="25"/>
      <c r="N21" s="96" t="s">
        <v>197</v>
      </c>
    </row>
    <row r="22" spans="1:14" ht="15">
      <c r="A22" s="1" t="s">
        <v>201</v>
      </c>
      <c r="B22" s="10">
        <v>9858</v>
      </c>
      <c r="C22" s="27">
        <v>10604</v>
      </c>
      <c r="D22" s="27">
        <v>12078</v>
      </c>
      <c r="E22" s="27">
        <v>13779</v>
      </c>
      <c r="F22" s="27">
        <v>14618</v>
      </c>
      <c r="G22" s="27">
        <v>17746</v>
      </c>
      <c r="H22" s="27">
        <v>16978</v>
      </c>
      <c r="I22" s="27">
        <v>16173</v>
      </c>
      <c r="J22" s="27">
        <v>14951</v>
      </c>
      <c r="K22" s="26">
        <v>15800</v>
      </c>
      <c r="L22" s="26">
        <v>14484</v>
      </c>
      <c r="M22" s="68">
        <v>15010</v>
      </c>
      <c r="N22" s="98"/>
    </row>
    <row r="23" spans="1:14" ht="15">
      <c r="A23" s="11" t="s">
        <v>202</v>
      </c>
      <c r="B23" s="10">
        <v>3840</v>
      </c>
      <c r="C23" s="27">
        <v>4132</v>
      </c>
      <c r="D23" s="27">
        <v>4827</v>
      </c>
      <c r="E23" s="27">
        <v>4659</v>
      </c>
      <c r="F23" s="27">
        <v>4100</v>
      </c>
      <c r="G23" s="27">
        <v>4284</v>
      </c>
      <c r="H23" s="27">
        <v>6027</v>
      </c>
      <c r="I23" s="27">
        <v>6519</v>
      </c>
      <c r="J23" s="27">
        <v>8100</v>
      </c>
      <c r="K23" s="26">
        <v>8100</v>
      </c>
      <c r="L23" s="26">
        <v>9412</v>
      </c>
      <c r="M23" s="68">
        <v>14260</v>
      </c>
      <c r="N23" s="98"/>
    </row>
    <row r="24" spans="1:13" ht="15">
      <c r="A24" s="1"/>
      <c r="B24" s="1"/>
      <c r="C24" s="33"/>
      <c r="D24" s="33"/>
      <c r="E24" s="33"/>
      <c r="F24" s="33"/>
      <c r="G24" s="33"/>
      <c r="H24" s="33"/>
      <c r="I24" s="33"/>
      <c r="J24" s="33"/>
      <c r="K24" s="25"/>
      <c r="L24" s="25"/>
      <c r="M24" s="70"/>
    </row>
    <row r="25" spans="1:14" ht="15.75">
      <c r="A25" s="2" t="s">
        <v>203</v>
      </c>
      <c r="B25" s="9"/>
      <c r="C25" s="37"/>
      <c r="D25" s="37"/>
      <c r="E25" s="37"/>
      <c r="F25" s="37"/>
      <c r="G25" s="37"/>
      <c r="H25" s="37"/>
      <c r="I25" s="37"/>
      <c r="J25" s="25"/>
      <c r="K25" s="25"/>
      <c r="L25" s="25"/>
      <c r="N25" s="96" t="s">
        <v>191</v>
      </c>
    </row>
    <row r="26" spans="1:14" ht="15">
      <c r="A26" s="5" t="s">
        <v>204</v>
      </c>
      <c r="B26" s="14">
        <v>10.2</v>
      </c>
      <c r="C26" s="26">
        <v>19.1</v>
      </c>
      <c r="D26" s="26">
        <v>22.9</v>
      </c>
      <c r="E26" s="26">
        <v>30.1</v>
      </c>
      <c r="F26" s="26">
        <v>36.7</v>
      </c>
      <c r="G26" s="26">
        <v>42.2</v>
      </c>
      <c r="H26" s="26">
        <v>53.9</v>
      </c>
      <c r="I26" s="26">
        <v>62.2</v>
      </c>
      <c r="J26" s="26">
        <v>65.2</v>
      </c>
      <c r="K26" s="26">
        <v>67</v>
      </c>
      <c r="L26" s="26">
        <v>68.6</v>
      </c>
      <c r="M26" s="32">
        <v>71</v>
      </c>
      <c r="N26" s="25">
        <v>73</v>
      </c>
    </row>
    <row r="27" spans="1:14" ht="15">
      <c r="A27" t="s">
        <v>194</v>
      </c>
      <c r="B27" s="14">
        <v>77.4</v>
      </c>
      <c r="C27" s="26">
        <v>99.6</v>
      </c>
      <c r="D27" s="26">
        <v>119.4</v>
      </c>
      <c r="E27" s="26">
        <v>154.9</v>
      </c>
      <c r="F27" s="26">
        <v>172.2</v>
      </c>
      <c r="G27" s="26">
        <v>186.9</v>
      </c>
      <c r="H27" s="26">
        <v>218.3</v>
      </c>
      <c r="I27" s="26">
        <v>240.6</v>
      </c>
      <c r="J27" s="26">
        <v>258.1</v>
      </c>
      <c r="K27" s="26">
        <v>275.6</v>
      </c>
      <c r="L27" s="26">
        <v>279.3</v>
      </c>
      <c r="M27" s="32">
        <v>274</v>
      </c>
      <c r="N27" s="25">
        <v>282</v>
      </c>
    </row>
    <row r="28" spans="3:13" ht="1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74"/>
    </row>
    <row r="29" spans="1:14" ht="15">
      <c r="A29" s="1"/>
      <c r="B29" s="1"/>
      <c r="C29" s="33"/>
      <c r="D29" s="33"/>
      <c r="E29" s="33"/>
      <c r="F29" s="33"/>
      <c r="G29" s="33"/>
      <c r="H29" s="33"/>
      <c r="I29" s="33"/>
      <c r="J29" s="34"/>
      <c r="K29" s="25"/>
      <c r="L29" s="25"/>
      <c r="N29" s="96" t="s">
        <v>195</v>
      </c>
    </row>
    <row r="30" spans="1:14" ht="15">
      <c r="A30" s="1" t="s">
        <v>196</v>
      </c>
      <c r="B30" s="14">
        <v>20.8</v>
      </c>
      <c r="C30" s="38">
        <v>20.4</v>
      </c>
      <c r="D30" s="38">
        <v>20.1</v>
      </c>
      <c r="E30" s="38">
        <v>21.8</v>
      </c>
      <c r="F30" s="38">
        <v>17.5</v>
      </c>
      <c r="G30" s="38">
        <v>5.3</v>
      </c>
      <c r="H30" s="38">
        <v>2.1</v>
      </c>
      <c r="I30" s="38">
        <v>1.5</v>
      </c>
      <c r="J30" s="38">
        <v>1.5</v>
      </c>
      <c r="K30" s="38">
        <v>1.4</v>
      </c>
      <c r="L30" s="41">
        <v>1.2</v>
      </c>
      <c r="M30" s="73">
        <v>2</v>
      </c>
      <c r="N30" s="73">
        <v>2</v>
      </c>
    </row>
    <row r="31" spans="1:13" ht="15">
      <c r="A31" s="1"/>
      <c r="B31" s="1"/>
      <c r="C31" s="33"/>
      <c r="D31" s="33"/>
      <c r="E31" s="33"/>
      <c r="F31" s="33"/>
      <c r="G31" s="33"/>
      <c r="H31" s="33"/>
      <c r="I31" s="33"/>
      <c r="J31" s="33"/>
      <c r="K31" s="33"/>
      <c r="L31" s="25"/>
      <c r="M31" s="72"/>
    </row>
    <row r="32" spans="1:14" ht="15">
      <c r="A32" s="1"/>
      <c r="B32" s="1"/>
      <c r="C32" s="33"/>
      <c r="D32" s="33"/>
      <c r="E32" s="33"/>
      <c r="F32" s="33"/>
      <c r="G32" s="33"/>
      <c r="H32" s="33"/>
      <c r="I32" s="33"/>
      <c r="J32" s="33"/>
      <c r="K32" s="25"/>
      <c r="L32" s="25"/>
      <c r="N32" s="96" t="s">
        <v>197</v>
      </c>
    </row>
    <row r="33" spans="1:14" ht="15">
      <c r="A33" s="1" t="s">
        <v>205</v>
      </c>
      <c r="B33" s="10">
        <v>646</v>
      </c>
      <c r="C33" s="27">
        <v>708</v>
      </c>
      <c r="D33" s="27">
        <v>820</v>
      </c>
      <c r="E33" s="27">
        <v>708</v>
      </c>
      <c r="F33" s="27">
        <v>943</v>
      </c>
      <c r="G33" s="27">
        <v>1039</v>
      </c>
      <c r="H33" s="27">
        <v>959</v>
      </c>
      <c r="I33" s="27">
        <v>1045</v>
      </c>
      <c r="J33" s="27">
        <v>1116</v>
      </c>
      <c r="K33" s="27">
        <v>1163</v>
      </c>
      <c r="L33" s="26">
        <v>1227</v>
      </c>
      <c r="M33" s="68">
        <v>1321</v>
      </c>
      <c r="N33" s="68">
        <v>1412</v>
      </c>
    </row>
    <row r="34" spans="1:14" ht="15">
      <c r="A34" s="11" t="s">
        <v>199</v>
      </c>
      <c r="B34" s="10">
        <v>929</v>
      </c>
      <c r="C34" s="27">
        <v>880</v>
      </c>
      <c r="D34" s="27">
        <v>1137</v>
      </c>
      <c r="E34" s="27">
        <v>1795</v>
      </c>
      <c r="F34" s="27">
        <v>2224</v>
      </c>
      <c r="G34" s="27">
        <v>2982</v>
      </c>
      <c r="H34" s="27">
        <v>2992</v>
      </c>
      <c r="I34" s="27">
        <v>3139</v>
      </c>
      <c r="J34" s="27">
        <v>3353</v>
      </c>
      <c r="K34" s="27">
        <v>3563</v>
      </c>
      <c r="L34" s="26">
        <v>3647</v>
      </c>
      <c r="M34" s="68">
        <v>3935</v>
      </c>
      <c r="N34" s="68">
        <v>3439</v>
      </c>
    </row>
    <row r="35" spans="3:13" ht="1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74"/>
    </row>
    <row r="36" spans="1:14" ht="15.75">
      <c r="A36" s="2" t="s">
        <v>266</v>
      </c>
      <c r="B36" s="9"/>
      <c r="C36" s="37"/>
      <c r="D36" s="37"/>
      <c r="E36" s="37"/>
      <c r="F36" s="37"/>
      <c r="G36" s="37"/>
      <c r="H36" s="37"/>
      <c r="I36" s="37"/>
      <c r="J36" s="25"/>
      <c r="K36" s="25"/>
      <c r="L36" s="25"/>
      <c r="N36" s="96" t="s">
        <v>191</v>
      </c>
    </row>
    <row r="37" spans="1:14" ht="15">
      <c r="A37" s="5" t="s">
        <v>204</v>
      </c>
      <c r="B37" s="7">
        <v>1193</v>
      </c>
      <c r="C37" s="26">
        <v>1301</v>
      </c>
      <c r="D37" s="26">
        <v>1436</v>
      </c>
      <c r="E37" s="26">
        <v>1491</v>
      </c>
      <c r="F37" s="26">
        <v>1532</v>
      </c>
      <c r="G37" s="26">
        <v>1526</v>
      </c>
      <c r="H37" s="26">
        <v>1543</v>
      </c>
      <c r="I37" s="26">
        <v>1562</v>
      </c>
      <c r="J37" s="97">
        <f>J4+J5+J15+J16+J26</f>
        <v>1582</v>
      </c>
      <c r="K37" s="27">
        <v>1172</v>
      </c>
      <c r="L37" s="97">
        <f>L4+L5+L15+L16+L26</f>
        <v>1169.1999999999998</v>
      </c>
      <c r="M37" s="97">
        <f>M4+M5+M15+M16+M26</f>
        <v>1148</v>
      </c>
      <c r="N37" s="97">
        <f>N4+N5+N15+N16+N26</f>
        <v>1064</v>
      </c>
    </row>
    <row r="38" spans="1:14" ht="15">
      <c r="A38" t="s">
        <v>194</v>
      </c>
      <c r="B38" s="7">
        <v>5346</v>
      </c>
      <c r="C38" s="26">
        <v>5655</v>
      </c>
      <c r="D38" s="26">
        <v>6176</v>
      </c>
      <c r="E38" s="26">
        <v>6543</v>
      </c>
      <c r="F38" s="26">
        <v>6800</v>
      </c>
      <c r="G38" s="26">
        <v>6627</v>
      </c>
      <c r="H38" s="26">
        <v>6632</v>
      </c>
      <c r="I38" s="26">
        <v>6649</v>
      </c>
      <c r="J38" s="97">
        <f>J6+J17+J27</f>
        <v>6855.1</v>
      </c>
      <c r="K38" s="97">
        <f>K6+K17+K27</f>
        <v>5588.6</v>
      </c>
      <c r="L38" s="97">
        <f>L6+L17+L27</f>
        <v>5634.3</v>
      </c>
      <c r="M38" s="97">
        <f>M6+M17+M27</f>
        <v>5331</v>
      </c>
      <c r="N38" s="97">
        <f>N6+N17+N27</f>
        <v>5085</v>
      </c>
    </row>
    <row r="39" spans="1:13" ht="15">
      <c r="A39" t="s">
        <v>291</v>
      </c>
      <c r="C39" s="25"/>
      <c r="D39" s="25"/>
      <c r="E39" s="25"/>
      <c r="F39" s="25"/>
      <c r="G39" s="25"/>
      <c r="H39" s="25"/>
      <c r="I39" s="25"/>
      <c r="J39" s="32"/>
      <c r="K39" s="32"/>
      <c r="L39" s="32"/>
      <c r="M39" s="32"/>
    </row>
    <row r="40" spans="1:14" ht="15">
      <c r="A40" s="1"/>
      <c r="B40" s="1"/>
      <c r="C40" s="33"/>
      <c r="D40" s="33"/>
      <c r="E40" s="33"/>
      <c r="F40" s="33"/>
      <c r="G40" s="33"/>
      <c r="H40" s="33"/>
      <c r="I40" s="33"/>
      <c r="J40" s="34"/>
      <c r="K40" s="25"/>
      <c r="L40" s="25"/>
      <c r="N40" s="96" t="s">
        <v>195</v>
      </c>
    </row>
    <row r="41" spans="1:14" ht="15">
      <c r="A41" s="1" t="s">
        <v>196</v>
      </c>
      <c r="B41" s="14">
        <v>54.7</v>
      </c>
      <c r="C41" s="38">
        <v>65.6</v>
      </c>
      <c r="D41" s="38">
        <v>71.4</v>
      </c>
      <c r="E41" s="38">
        <v>74.2</v>
      </c>
      <c r="F41" s="38">
        <v>59.8</v>
      </c>
      <c r="G41" s="38">
        <v>41.5</v>
      </c>
      <c r="H41" s="38">
        <v>46.3</v>
      </c>
      <c r="I41" s="38">
        <v>47.6</v>
      </c>
      <c r="J41" s="38">
        <v>56.5</v>
      </c>
      <c r="K41" s="38">
        <v>66.4</v>
      </c>
      <c r="L41" s="41">
        <v>64.2</v>
      </c>
      <c r="M41" s="77">
        <v>57</v>
      </c>
      <c r="N41" s="98"/>
    </row>
    <row r="42" spans="1:13" ht="15">
      <c r="A42" s="1"/>
      <c r="B42" s="1"/>
      <c r="C42" s="33"/>
      <c r="D42" s="33"/>
      <c r="E42" s="33"/>
      <c r="F42" s="33"/>
      <c r="G42" s="33"/>
      <c r="H42" s="33"/>
      <c r="I42" s="33"/>
      <c r="J42" s="33"/>
      <c r="K42" s="33"/>
      <c r="L42" s="25"/>
      <c r="M42" s="75"/>
    </row>
    <row r="43" spans="1:14" ht="15">
      <c r="A43" s="1"/>
      <c r="B43" s="1"/>
      <c r="C43" s="33"/>
      <c r="D43" s="33"/>
      <c r="E43" s="33"/>
      <c r="F43" s="33"/>
      <c r="G43" s="33"/>
      <c r="H43" s="33"/>
      <c r="I43" s="33"/>
      <c r="J43" s="33"/>
      <c r="K43" s="25"/>
      <c r="L43" s="25"/>
      <c r="N43" s="96" t="s">
        <v>197</v>
      </c>
    </row>
    <row r="44" spans="1:14" ht="15">
      <c r="A44" s="1" t="s">
        <v>206</v>
      </c>
      <c r="B44" s="10">
        <v>27798</v>
      </c>
      <c r="C44" s="27">
        <v>30622</v>
      </c>
      <c r="D44" s="27">
        <v>33481</v>
      </c>
      <c r="E44" s="27">
        <v>37774</v>
      </c>
      <c r="F44" s="27">
        <v>41427</v>
      </c>
      <c r="G44" s="27">
        <v>45714</v>
      </c>
      <c r="H44" s="27">
        <v>46614</v>
      </c>
      <c r="I44" s="27">
        <v>47912</v>
      </c>
      <c r="J44" s="27">
        <v>50267</v>
      </c>
      <c r="K44" s="27">
        <v>51716</v>
      </c>
      <c r="L44" s="26">
        <v>51952</v>
      </c>
      <c r="M44" s="28">
        <v>52875</v>
      </c>
      <c r="N44" s="98"/>
    </row>
    <row r="45" spans="1:14" ht="15.75" thickBot="1">
      <c r="A45" s="12" t="s">
        <v>207</v>
      </c>
      <c r="B45" s="8">
        <v>10993</v>
      </c>
      <c r="C45" s="29">
        <v>10272</v>
      </c>
      <c r="D45" s="29">
        <v>11512</v>
      </c>
      <c r="E45" s="29">
        <v>11953</v>
      </c>
      <c r="F45" s="29">
        <v>12124</v>
      </c>
      <c r="G45" s="29">
        <v>13316</v>
      </c>
      <c r="H45" s="29">
        <v>19619</v>
      </c>
      <c r="I45" s="29">
        <v>16388</v>
      </c>
      <c r="J45" s="29">
        <v>19735</v>
      </c>
      <c r="K45" s="29">
        <v>23337</v>
      </c>
      <c r="L45" s="29">
        <v>23369</v>
      </c>
      <c r="M45" s="30">
        <v>32631</v>
      </c>
      <c r="N45" s="99"/>
    </row>
    <row r="47" spans="3:14" ht="15">
      <c r="C47" s="40" t="str">
        <f>IF(ABS(C37-C26-C16-C15-C5-C4)&gt;comments!$A$1,C37-C26-C16-C15-C5-C4," ")</f>
        <v> </v>
      </c>
      <c r="D47" s="40" t="str">
        <f>IF(ABS(D37-D26-D16-D15-D5-D4)&gt;comments!$A$1,D37-D26-D16-D15-D5-D4," ")</f>
        <v> </v>
      </c>
      <c r="E47" s="40" t="str">
        <f>IF(ABS(E37-E26-E16-E15-E5-E4)&gt;comments!$A$1,E37-E26-E16-E15-E5-E4," ")</f>
        <v> </v>
      </c>
      <c r="F47" s="40" t="str">
        <f>IF(ABS(F37-F26-F16-F15-F5-F4)&gt;comments!$A$1,F37-F26-F16-F15-F5-F4," ")</f>
        <v> </v>
      </c>
      <c r="G47" s="40" t="str">
        <f>IF(ABS(G37-G26-G16-G15-G5-G4)&gt;comments!$A$1,G37-G26-G16-G15-G5-G4," ")</f>
        <v> </v>
      </c>
      <c r="H47" s="40" t="str">
        <f>IF(ABS(H37-H26-H16-H15-H5-H4)&gt;comments!$A$1,H37-H26-H16-H15-H5-H4," ")</f>
        <v> </v>
      </c>
      <c r="I47" s="40" t="str">
        <f>IF(ABS(I37-I26-I16-I15-I5-I4)&gt;comments!$A$1,I37-I26-I16-I15-I5-I4," ")</f>
        <v> </v>
      </c>
      <c r="J47" s="40" t="str">
        <f>IF(ABS(J37-J50-J26-J16-J15-J5-J4)&gt;comments!$A$1,J37-J26-J16-J15-J5-J4," ")</f>
        <v> </v>
      </c>
      <c r="K47" s="40" t="str">
        <f>IF(ABS(K37-K50-K26-K16-K15-K5-K4)&gt;comments!$A$1,K37-K26-K16-K15-K5-K4," ")</f>
        <v> </v>
      </c>
      <c r="L47" s="40" t="str">
        <f>IF(ABS(L37-L50-L26-L16-L15-L5-L4)&gt;comments!$A$1,L37-L26-L16-L15-L5-L4," ")</f>
        <v> </v>
      </c>
      <c r="M47" s="40" t="str">
        <f>IF(ABS(M37-M50-M26-M16-M15-M5-M4)&gt;comments!$A$1,M37-M26-M16-M15-M5-M4," ")</f>
        <v> </v>
      </c>
      <c r="N47" s="40" t="str">
        <f>IF(ABS(N37-N50-N26-N16-N15-N5-N4)&gt;comments!$A$1,N37-N26-N16-N15-N5-N4," ")</f>
        <v> </v>
      </c>
    </row>
    <row r="48" spans="1:14" ht="15.75">
      <c r="A48" s="37" t="s">
        <v>265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96" t="s">
        <v>191</v>
      </c>
    </row>
    <row r="49" spans="1:14" ht="15">
      <c r="A49" s="5" t="s">
        <v>192</v>
      </c>
      <c r="C49" s="89" t="s">
        <v>189</v>
      </c>
      <c r="D49" s="89" t="s">
        <v>189</v>
      </c>
      <c r="E49" s="89" t="s">
        <v>189</v>
      </c>
      <c r="F49" s="89" t="s">
        <v>189</v>
      </c>
      <c r="G49" s="89" t="s">
        <v>189</v>
      </c>
      <c r="H49" s="89" t="s">
        <v>189</v>
      </c>
      <c r="I49" s="89" t="s">
        <v>189</v>
      </c>
      <c r="J49" s="26">
        <v>199.863</v>
      </c>
      <c r="K49" s="26">
        <v>266.051</v>
      </c>
      <c r="L49" s="26">
        <v>284.122</v>
      </c>
      <c r="M49" s="68">
        <v>252.714</v>
      </c>
      <c r="N49" s="25">
        <v>252</v>
      </c>
    </row>
    <row r="50" spans="1:14" ht="15">
      <c r="A50" t="s">
        <v>193</v>
      </c>
      <c r="C50" s="89" t="s">
        <v>189</v>
      </c>
      <c r="D50" s="89" t="s">
        <v>189</v>
      </c>
      <c r="E50" s="89" t="s">
        <v>189</v>
      </c>
      <c r="F50" s="89" t="s">
        <v>189</v>
      </c>
      <c r="G50" s="89" t="s">
        <v>189</v>
      </c>
      <c r="H50" s="89" t="s">
        <v>189</v>
      </c>
      <c r="I50" s="89" t="s">
        <v>189</v>
      </c>
      <c r="J50" s="26">
        <v>17.926</v>
      </c>
      <c r="K50" s="26">
        <v>21.692</v>
      </c>
      <c r="L50" s="26">
        <v>22.971</v>
      </c>
      <c r="M50" s="26">
        <v>20.797</v>
      </c>
      <c r="N50" s="25">
        <v>25</v>
      </c>
    </row>
    <row r="51" spans="1:14" ht="15">
      <c r="A51" t="s">
        <v>194</v>
      </c>
      <c r="C51" s="89" t="s">
        <v>189</v>
      </c>
      <c r="D51" s="89" t="s">
        <v>189</v>
      </c>
      <c r="E51" s="89" t="s">
        <v>189</v>
      </c>
      <c r="F51" s="89" t="s">
        <v>189</v>
      </c>
      <c r="G51" s="89" t="s">
        <v>189</v>
      </c>
      <c r="H51" s="89" t="s">
        <v>189</v>
      </c>
      <c r="I51" s="89" t="s">
        <v>189</v>
      </c>
      <c r="J51" s="88">
        <v>535.6555</v>
      </c>
      <c r="K51" s="88">
        <v>697.9275</v>
      </c>
      <c r="L51" s="88">
        <v>741.7145</v>
      </c>
      <c r="M51" s="88">
        <v>660.087</v>
      </c>
      <c r="N51" s="25">
        <v>667</v>
      </c>
    </row>
    <row r="52" spans="1:14" ht="15" customHeight="1" thickBot="1">
      <c r="A52" s="3"/>
      <c r="B52" s="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90"/>
      <c r="N52" s="3"/>
    </row>
    <row r="53" ht="12.75">
      <c r="A53" t="s">
        <v>208</v>
      </c>
    </row>
    <row r="54" ht="12.75">
      <c r="A54" t="s">
        <v>209</v>
      </c>
    </row>
    <row r="55" ht="12.75">
      <c r="A55" t="s">
        <v>210</v>
      </c>
    </row>
    <row r="56" ht="12.75">
      <c r="A56" t="s">
        <v>284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5" r:id="rId1"/>
  <headerFooter alignWithMargins="0">
    <oddHeader>&amp;L&amp;"Arial,Bold"&amp;16WATER TRANSPORT</oddHeader>
    <oddFooter>&amp;C&amp;14 111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7.8515625" style="180" customWidth="1"/>
    <col min="2" max="4" width="8.7109375" style="180" hidden="1" customWidth="1"/>
    <col min="5" max="5" width="12.7109375" style="180" hidden="1" customWidth="1"/>
    <col min="6" max="6" width="10.57421875" style="180" hidden="1" customWidth="1"/>
    <col min="7" max="7" width="10.8515625" style="180" hidden="1" customWidth="1"/>
    <col min="8" max="8" width="11.00390625" style="180" hidden="1" customWidth="1"/>
    <col min="9" max="9" width="10.28125" style="180" hidden="1" customWidth="1"/>
    <col min="10" max="10" width="12.00390625" style="180" hidden="1" customWidth="1"/>
    <col min="11" max="20" width="12.00390625" style="180" bestFit="1" customWidth="1"/>
    <col min="21" max="21" width="10.8515625" style="180" customWidth="1"/>
    <col min="22" max="16384" width="9.140625" style="180" customWidth="1"/>
  </cols>
  <sheetData>
    <row r="1" spans="1:17" s="25" customFormat="1" ht="20.25">
      <c r="A1" s="533" t="s">
        <v>743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Q1" s="508"/>
    </row>
    <row r="2" spans="1:14" ht="9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21" ht="19.5" customHeight="1">
      <c r="A3" s="448" t="s">
        <v>211</v>
      </c>
      <c r="B3" s="449">
        <v>1992</v>
      </c>
      <c r="C3" s="449">
        <v>1993</v>
      </c>
      <c r="D3" s="449">
        <v>1994</v>
      </c>
      <c r="E3" s="449">
        <v>1995</v>
      </c>
      <c r="F3" s="449">
        <v>1996</v>
      </c>
      <c r="G3" s="449">
        <v>1997</v>
      </c>
      <c r="H3" s="449">
        <v>1998</v>
      </c>
      <c r="I3" s="449">
        <v>1999</v>
      </c>
      <c r="J3" s="449">
        <v>2000</v>
      </c>
      <c r="K3" s="449">
        <v>2001</v>
      </c>
      <c r="L3" s="449">
        <v>2002</v>
      </c>
      <c r="M3" s="449">
        <v>2003</v>
      </c>
      <c r="N3" s="449">
        <v>2004</v>
      </c>
      <c r="O3" s="449">
        <v>2005</v>
      </c>
      <c r="P3" s="449">
        <v>2006</v>
      </c>
      <c r="Q3" s="449">
        <v>2007</v>
      </c>
      <c r="R3" s="449">
        <v>2008</v>
      </c>
      <c r="S3" s="449">
        <v>2009</v>
      </c>
      <c r="T3" s="449">
        <v>2010</v>
      </c>
      <c r="U3" s="449">
        <v>2011</v>
      </c>
    </row>
    <row r="4" spans="1:10" ht="8.25" customHeight="1">
      <c r="A4" s="432"/>
      <c r="B4" s="400"/>
      <c r="C4" s="400"/>
      <c r="D4" s="400"/>
      <c r="E4" s="400"/>
      <c r="F4" s="400"/>
      <c r="G4" s="400"/>
      <c r="H4" s="400"/>
      <c r="I4" s="400"/>
      <c r="J4" s="433"/>
    </row>
    <row r="5" spans="1:21" ht="19.5" customHeight="1">
      <c r="A5" s="434" t="s">
        <v>194</v>
      </c>
      <c r="B5" s="400"/>
      <c r="C5" s="400"/>
      <c r="D5" s="400"/>
      <c r="E5" s="400"/>
      <c r="F5" s="400"/>
      <c r="G5" s="400"/>
      <c r="H5" s="400"/>
      <c r="I5" s="400"/>
      <c r="J5" s="180" t="s">
        <v>335</v>
      </c>
      <c r="M5" s="435"/>
      <c r="N5" s="435"/>
      <c r="O5" s="435"/>
      <c r="Q5" s="447"/>
      <c r="R5" s="447"/>
      <c r="S5" s="447"/>
      <c r="T5" s="447"/>
      <c r="U5" s="447" t="s">
        <v>186</v>
      </c>
    </row>
    <row r="6" spans="1:10" ht="8.25" customHeight="1">
      <c r="A6" s="434"/>
      <c r="B6" s="400"/>
      <c r="C6" s="400"/>
      <c r="D6" s="400"/>
      <c r="E6" s="400"/>
      <c r="F6" s="400"/>
      <c r="G6" s="400"/>
      <c r="H6" s="400"/>
      <c r="I6" s="400"/>
      <c r="J6" s="433"/>
    </row>
    <row r="7" spans="1:9" ht="15" customHeight="1">
      <c r="A7" s="400" t="s">
        <v>101</v>
      </c>
      <c r="B7" s="436"/>
      <c r="C7" s="436"/>
      <c r="D7" s="436"/>
      <c r="E7" s="436"/>
      <c r="F7" s="436"/>
      <c r="G7" s="436"/>
      <c r="H7" s="436"/>
      <c r="I7" s="436"/>
    </row>
    <row r="8" spans="1:21" ht="15">
      <c r="A8" s="305" t="s">
        <v>291</v>
      </c>
      <c r="B8" s="38">
        <v>58.338</v>
      </c>
      <c r="C8" s="38">
        <v>53.842</v>
      </c>
      <c r="D8" s="38">
        <v>59.889</v>
      </c>
      <c r="E8" s="38">
        <v>63.843</v>
      </c>
      <c r="F8" s="38">
        <v>67.342</v>
      </c>
      <c r="G8" s="38">
        <v>68.417</v>
      </c>
      <c r="H8" s="38">
        <v>66.5</v>
      </c>
      <c r="I8" s="65">
        <v>65.6</v>
      </c>
      <c r="J8" s="390">
        <v>63.2</v>
      </c>
      <c r="K8" s="390">
        <v>64.7</v>
      </c>
      <c r="L8" s="393">
        <v>63.6</v>
      </c>
      <c r="M8" s="393">
        <v>71.136</v>
      </c>
      <c r="N8" s="393">
        <v>77.7</v>
      </c>
      <c r="O8" s="393">
        <v>75.363</v>
      </c>
      <c r="P8" s="393">
        <v>74.8</v>
      </c>
      <c r="Q8" s="393">
        <v>74.2</v>
      </c>
      <c r="R8" s="393">
        <v>76.2</v>
      </c>
      <c r="S8" s="393">
        <v>75.98</v>
      </c>
      <c r="T8" s="393">
        <v>78.75</v>
      </c>
      <c r="U8" s="393">
        <v>81.65</v>
      </c>
    </row>
    <row r="9" spans="1:21" ht="15">
      <c r="A9" s="305" t="s">
        <v>236</v>
      </c>
      <c r="B9" s="38">
        <v>47.303</v>
      </c>
      <c r="C9" s="38">
        <v>50.76</v>
      </c>
      <c r="D9" s="38">
        <v>53.953</v>
      </c>
      <c r="E9" s="38">
        <v>58.219</v>
      </c>
      <c r="F9" s="38">
        <v>59.166</v>
      </c>
      <c r="G9" s="38">
        <v>56.554</v>
      </c>
      <c r="H9" s="38">
        <v>56.1</v>
      </c>
      <c r="I9" s="65">
        <v>56.4</v>
      </c>
      <c r="J9" s="390">
        <v>55.1</v>
      </c>
      <c r="K9" s="390">
        <v>54</v>
      </c>
      <c r="L9" s="393">
        <v>54.2</v>
      </c>
      <c r="M9" s="393">
        <v>60.288</v>
      </c>
      <c r="N9" s="393">
        <v>61.7</v>
      </c>
      <c r="O9" s="393">
        <v>58.7</v>
      </c>
      <c r="P9" s="393">
        <v>58.6</v>
      </c>
      <c r="Q9" s="393">
        <v>60.5</v>
      </c>
      <c r="R9" s="393">
        <v>55</v>
      </c>
      <c r="S9" s="393">
        <v>60.552</v>
      </c>
      <c r="T9" s="393">
        <v>58.8</v>
      </c>
      <c r="U9" s="393">
        <v>58.39</v>
      </c>
    </row>
    <row r="10" spans="1:21" ht="15">
      <c r="A10" s="305" t="s">
        <v>237</v>
      </c>
      <c r="B10" s="38">
        <v>44.352</v>
      </c>
      <c r="C10" s="38">
        <v>46.249</v>
      </c>
      <c r="D10" s="38">
        <v>50.465</v>
      </c>
      <c r="E10" s="38">
        <v>57.368</v>
      </c>
      <c r="F10" s="38">
        <v>58.142</v>
      </c>
      <c r="G10" s="38">
        <v>55.975</v>
      </c>
      <c r="H10" s="38">
        <v>56</v>
      </c>
      <c r="I10" s="65">
        <v>57.8</v>
      </c>
      <c r="J10" s="390">
        <v>57</v>
      </c>
      <c r="K10" s="390">
        <v>61.7</v>
      </c>
      <c r="L10" s="393">
        <v>60.9</v>
      </c>
      <c r="M10" s="393">
        <v>64.314</v>
      </c>
      <c r="N10" s="393">
        <v>64.3</v>
      </c>
      <c r="O10" s="393">
        <v>63.761</v>
      </c>
      <c r="P10" s="393">
        <v>64</v>
      </c>
      <c r="Q10" s="393">
        <v>65</v>
      </c>
      <c r="R10" s="393">
        <v>65.2</v>
      </c>
      <c r="S10" s="393">
        <v>69.904</v>
      </c>
      <c r="T10" s="393">
        <v>64.2</v>
      </c>
      <c r="U10" s="393">
        <v>66.97</v>
      </c>
    </row>
    <row r="11" spans="1:21" ht="15">
      <c r="A11" s="305" t="s">
        <v>238</v>
      </c>
      <c r="B11" s="38">
        <v>34.381</v>
      </c>
      <c r="C11" s="38">
        <v>67.171</v>
      </c>
      <c r="D11" s="38">
        <v>75.833</v>
      </c>
      <c r="E11" s="38">
        <v>78.536</v>
      </c>
      <c r="F11" s="38">
        <v>78.71</v>
      </c>
      <c r="G11" s="38">
        <v>82.356</v>
      </c>
      <c r="H11" s="38">
        <v>80.2</v>
      </c>
      <c r="I11" s="65">
        <v>84.9</v>
      </c>
      <c r="J11" s="390">
        <v>86</v>
      </c>
      <c r="K11" s="390">
        <v>87.5</v>
      </c>
      <c r="L11" s="393">
        <v>94.4</v>
      </c>
      <c r="M11" s="393">
        <v>96.237</v>
      </c>
      <c r="N11" s="393">
        <v>97.6</v>
      </c>
      <c r="O11" s="393">
        <v>96.653</v>
      </c>
      <c r="P11" s="393">
        <v>101.6</v>
      </c>
      <c r="Q11" s="393">
        <v>98.3</v>
      </c>
      <c r="R11" s="393">
        <v>102.1</v>
      </c>
      <c r="S11" s="393">
        <v>102.035</v>
      </c>
      <c r="T11" s="393">
        <v>105.8</v>
      </c>
      <c r="U11" s="393">
        <v>104.6</v>
      </c>
    </row>
    <row r="12" spans="1:21" ht="15">
      <c r="A12" s="305" t="s">
        <v>278</v>
      </c>
      <c r="B12" s="638">
        <v>0</v>
      </c>
      <c r="C12" s="638">
        <v>0</v>
      </c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5">
        <v>16.8</v>
      </c>
      <c r="J12" s="390">
        <v>16.5</v>
      </c>
      <c r="K12" s="390">
        <v>16.8</v>
      </c>
      <c r="L12" s="393">
        <v>17.5</v>
      </c>
      <c r="M12" s="393">
        <v>18.276</v>
      </c>
      <c r="N12" s="393">
        <v>20.4</v>
      </c>
      <c r="O12" s="393">
        <v>18.152</v>
      </c>
      <c r="P12" s="393">
        <v>18.9</v>
      </c>
      <c r="Q12" s="393">
        <v>18.4</v>
      </c>
      <c r="R12" s="393">
        <v>20.5</v>
      </c>
      <c r="S12" s="393">
        <v>21.063</v>
      </c>
      <c r="T12" s="393">
        <v>23.1</v>
      </c>
      <c r="U12" s="393">
        <v>26.15</v>
      </c>
    </row>
    <row r="13" spans="1:21" ht="15.75">
      <c r="A13" s="37" t="s">
        <v>141</v>
      </c>
      <c r="B13" s="646">
        <f aca="true" t="shared" si="0" ref="B13:U13">SUM(B8:B12)</f>
        <v>184.374</v>
      </c>
      <c r="C13" s="646">
        <f t="shared" si="0"/>
        <v>218.022</v>
      </c>
      <c r="D13" s="646">
        <f t="shared" si="0"/>
        <v>240.14000000000001</v>
      </c>
      <c r="E13" s="646">
        <f t="shared" si="0"/>
        <v>257.966</v>
      </c>
      <c r="F13" s="646">
        <f t="shared" si="0"/>
        <v>263.36</v>
      </c>
      <c r="G13" s="646">
        <f t="shared" si="0"/>
        <v>263.302</v>
      </c>
      <c r="H13" s="646">
        <f t="shared" si="0"/>
        <v>258.8</v>
      </c>
      <c r="I13" s="646">
        <f t="shared" si="0"/>
        <v>281.50000000000006</v>
      </c>
      <c r="J13" s="646">
        <f t="shared" si="0"/>
        <v>277.8</v>
      </c>
      <c r="K13" s="646">
        <f t="shared" si="0"/>
        <v>284.7</v>
      </c>
      <c r="L13" s="646">
        <f t="shared" si="0"/>
        <v>290.6</v>
      </c>
      <c r="M13" s="646">
        <f t="shared" si="0"/>
        <v>310.251</v>
      </c>
      <c r="N13" s="646">
        <f t="shared" si="0"/>
        <v>321.69999999999993</v>
      </c>
      <c r="O13" s="646">
        <f t="shared" si="0"/>
        <v>312.62899999999996</v>
      </c>
      <c r="P13" s="646">
        <f t="shared" si="0"/>
        <v>317.9</v>
      </c>
      <c r="Q13" s="646">
        <f t="shared" si="0"/>
        <v>316.4</v>
      </c>
      <c r="R13" s="646">
        <f t="shared" si="0"/>
        <v>319</v>
      </c>
      <c r="S13" s="646">
        <f t="shared" si="0"/>
        <v>329.534</v>
      </c>
      <c r="T13" s="646">
        <f t="shared" si="0"/>
        <v>330.65000000000003</v>
      </c>
      <c r="U13" s="646">
        <f t="shared" si="0"/>
        <v>337.76</v>
      </c>
    </row>
    <row r="14" spans="1:21" ht="8.25" customHeight="1">
      <c r="A14" s="439"/>
      <c r="B14" s="38"/>
      <c r="C14" s="38"/>
      <c r="D14" s="38"/>
      <c r="E14" s="38"/>
      <c r="F14" s="38"/>
      <c r="G14" s="38"/>
      <c r="H14" s="38"/>
      <c r="I14" s="5"/>
      <c r="M14" s="390"/>
      <c r="N14" s="390"/>
      <c r="O14" s="390"/>
      <c r="P14" s="390"/>
      <c r="Q14" s="390"/>
      <c r="R14" s="390"/>
      <c r="S14" s="390"/>
      <c r="T14" s="390"/>
      <c r="U14" s="390"/>
    </row>
    <row r="15" spans="1:21" ht="15" customHeight="1">
      <c r="A15" s="440" t="s">
        <v>308</v>
      </c>
      <c r="B15" s="38"/>
      <c r="C15" s="38"/>
      <c r="D15" s="38"/>
      <c r="E15" s="38"/>
      <c r="F15" s="38"/>
      <c r="G15" s="38"/>
      <c r="H15" s="38"/>
      <c r="I15" s="5"/>
      <c r="M15" s="390"/>
      <c r="N15" s="390"/>
      <c r="O15" s="390"/>
      <c r="P15" s="390"/>
      <c r="Q15" s="390"/>
      <c r="R15" s="390"/>
      <c r="S15" s="390"/>
      <c r="T15" s="390"/>
      <c r="U15" s="390"/>
    </row>
    <row r="16" spans="1:21" ht="15" customHeight="1">
      <c r="A16" s="441" t="s">
        <v>102</v>
      </c>
      <c r="B16" s="38">
        <v>1.8</v>
      </c>
      <c r="C16" s="38">
        <v>2.3</v>
      </c>
      <c r="D16" s="38">
        <v>2.7</v>
      </c>
      <c r="E16" s="38">
        <v>2.1</v>
      </c>
      <c r="F16" s="38">
        <v>1.6</v>
      </c>
      <c r="G16" s="38">
        <v>1.6</v>
      </c>
      <c r="H16" s="38">
        <v>1.9</v>
      </c>
      <c r="I16" s="38">
        <v>1.6</v>
      </c>
      <c r="J16" s="180">
        <v>1.3</v>
      </c>
      <c r="K16" s="234">
        <v>0.25</v>
      </c>
      <c r="L16" s="638">
        <v>0</v>
      </c>
      <c r="M16" s="638">
        <v>0</v>
      </c>
      <c r="N16" s="638">
        <v>0</v>
      </c>
      <c r="O16" s="638">
        <v>0</v>
      </c>
      <c r="P16" s="638">
        <v>0</v>
      </c>
      <c r="Q16" s="638">
        <v>0</v>
      </c>
      <c r="R16" s="638">
        <v>0</v>
      </c>
      <c r="S16" s="638">
        <v>0</v>
      </c>
      <c r="T16" s="638">
        <v>0</v>
      </c>
      <c r="U16" s="638">
        <v>0</v>
      </c>
    </row>
    <row r="17" spans="1:9" ht="8.25" customHeight="1">
      <c r="A17" s="439"/>
      <c r="B17" s="38"/>
      <c r="C17" s="38"/>
      <c r="D17" s="38"/>
      <c r="E17" s="38"/>
      <c r="F17" s="38"/>
      <c r="G17" s="38"/>
      <c r="H17" s="38"/>
      <c r="I17" s="5"/>
    </row>
    <row r="18" spans="1:9" ht="18.75">
      <c r="A18" s="400" t="s">
        <v>103</v>
      </c>
      <c r="B18" s="38"/>
      <c r="C18" s="38"/>
      <c r="D18" s="38"/>
      <c r="E18" s="38"/>
      <c r="F18" s="38"/>
      <c r="G18" s="38"/>
      <c r="H18" s="38"/>
      <c r="I18" s="5"/>
    </row>
    <row r="19" spans="1:21" ht="15">
      <c r="A19" s="305" t="s">
        <v>263</v>
      </c>
      <c r="B19" s="38">
        <v>598.3</v>
      </c>
      <c r="C19" s="38">
        <v>634.2</v>
      </c>
      <c r="D19" s="38">
        <v>703.8</v>
      </c>
      <c r="E19" s="38">
        <v>751.5</v>
      </c>
      <c r="F19" s="38">
        <v>762.5</v>
      </c>
      <c r="G19" s="38">
        <v>768.3</v>
      </c>
      <c r="H19" s="38">
        <v>786.4</v>
      </c>
      <c r="I19" s="622">
        <v>1062.6</v>
      </c>
      <c r="J19" s="390">
        <v>1076.6</v>
      </c>
      <c r="K19" s="390">
        <v>1129.3</v>
      </c>
      <c r="L19" s="393">
        <v>1163.7</v>
      </c>
      <c r="M19" s="443">
        <v>1259.597</v>
      </c>
      <c r="N19" s="443">
        <v>1254.7</v>
      </c>
      <c r="O19" s="443">
        <v>1280.3</v>
      </c>
      <c r="P19" s="443">
        <v>1306.9</v>
      </c>
      <c r="Q19" s="443">
        <v>1329.4</v>
      </c>
      <c r="R19" s="443">
        <v>1308.5</v>
      </c>
      <c r="S19" s="443">
        <v>1336.2</v>
      </c>
      <c r="T19" s="443">
        <v>1313.8</v>
      </c>
      <c r="U19" s="655">
        <v>1332.7</v>
      </c>
    </row>
    <row r="20" spans="1:9" ht="8.25" customHeight="1">
      <c r="A20" s="305"/>
      <c r="B20" s="38"/>
      <c r="C20" s="38"/>
      <c r="D20" s="38"/>
      <c r="E20" s="38"/>
      <c r="F20" s="38"/>
      <c r="G20" s="38"/>
      <c r="H20" s="38"/>
      <c r="I20"/>
    </row>
    <row r="21" spans="1:9" ht="15.75">
      <c r="A21" s="400" t="s">
        <v>466</v>
      </c>
      <c r="B21" s="39"/>
      <c r="C21" s="39"/>
      <c r="D21" s="39"/>
      <c r="E21" s="39"/>
      <c r="F21" s="39"/>
      <c r="G21" s="39"/>
      <c r="H21" s="39"/>
      <c r="I21"/>
    </row>
    <row r="22" spans="1:21" ht="18">
      <c r="A22" s="305" t="s">
        <v>104</v>
      </c>
      <c r="B22" s="638">
        <v>0</v>
      </c>
      <c r="C22" s="638">
        <v>0</v>
      </c>
      <c r="D22" s="638">
        <v>0</v>
      </c>
      <c r="E22" s="638">
        <v>0</v>
      </c>
      <c r="F22" s="39" t="s">
        <v>189</v>
      </c>
      <c r="G22" s="39">
        <v>28.5</v>
      </c>
      <c r="H22" s="39">
        <v>26.2</v>
      </c>
      <c r="I22" s="25">
        <v>28.1</v>
      </c>
      <c r="J22" s="234">
        <v>26.2</v>
      </c>
      <c r="K22" s="234">
        <v>27.527</v>
      </c>
      <c r="L22" s="391">
        <v>32.5</v>
      </c>
      <c r="M22" s="391">
        <v>43.48</v>
      </c>
      <c r="N22" s="391">
        <v>56.06</v>
      </c>
      <c r="O22" s="391">
        <v>35.7</v>
      </c>
      <c r="P22" s="391">
        <v>29.5</v>
      </c>
      <c r="Q22" s="391">
        <v>39.1</v>
      </c>
      <c r="R22" s="391">
        <v>40.2</v>
      </c>
      <c r="S22" s="391">
        <v>39</v>
      </c>
      <c r="T22" s="391">
        <v>38.2</v>
      </c>
      <c r="U22" s="391">
        <v>33.4</v>
      </c>
    </row>
    <row r="23" spans="1:21" ht="15">
      <c r="A23" s="305" t="s">
        <v>279</v>
      </c>
      <c r="B23" s="638">
        <v>0</v>
      </c>
      <c r="C23" s="638">
        <v>0</v>
      </c>
      <c r="D23" s="638">
        <v>0</v>
      </c>
      <c r="E23" s="638">
        <v>0</v>
      </c>
      <c r="F23" s="39">
        <v>55.9</v>
      </c>
      <c r="G23" s="39">
        <v>50</v>
      </c>
      <c r="H23" s="25">
        <v>54.5</v>
      </c>
      <c r="I23" s="39">
        <v>57.1</v>
      </c>
      <c r="J23" s="438">
        <v>58.614</v>
      </c>
      <c r="K23" s="438">
        <v>63.566</v>
      </c>
      <c r="L23" s="386">
        <v>62.9</v>
      </c>
      <c r="M23" s="386">
        <v>62.737</v>
      </c>
      <c r="N23" s="386">
        <v>66.24</v>
      </c>
      <c r="O23" s="386">
        <v>67.7</v>
      </c>
      <c r="P23" s="391">
        <v>73.3</v>
      </c>
      <c r="Q23" s="391">
        <v>71.6</v>
      </c>
      <c r="R23" s="391">
        <v>72.4</v>
      </c>
      <c r="S23" s="391">
        <v>69.1</v>
      </c>
      <c r="T23" s="391">
        <v>65.8</v>
      </c>
      <c r="U23" s="391">
        <v>71.3</v>
      </c>
    </row>
    <row r="24" spans="1:21" ht="18">
      <c r="A24" s="305" t="s">
        <v>105</v>
      </c>
      <c r="B24" s="638">
        <v>0</v>
      </c>
      <c r="C24" s="638">
        <v>0</v>
      </c>
      <c r="D24" s="638">
        <v>0</v>
      </c>
      <c r="E24" s="638">
        <v>0</v>
      </c>
      <c r="F24" s="39" t="s">
        <v>189</v>
      </c>
      <c r="G24" s="39" t="s">
        <v>189</v>
      </c>
      <c r="H24" s="39" t="s">
        <v>189</v>
      </c>
      <c r="I24" s="39" t="s">
        <v>189</v>
      </c>
      <c r="J24" s="438">
        <v>13</v>
      </c>
      <c r="K24" s="438">
        <v>12.685</v>
      </c>
      <c r="L24" s="386">
        <v>9.2</v>
      </c>
      <c r="M24" s="386">
        <v>20.17</v>
      </c>
      <c r="N24" s="386">
        <v>17.741</v>
      </c>
      <c r="O24" s="386">
        <v>23.4</v>
      </c>
      <c r="P24" s="391">
        <v>21.3</v>
      </c>
      <c r="Q24" s="391">
        <v>15.2</v>
      </c>
      <c r="R24" s="391">
        <v>14.6</v>
      </c>
      <c r="S24" s="391">
        <v>13.9</v>
      </c>
      <c r="T24" s="391">
        <v>16.3</v>
      </c>
      <c r="U24" s="391">
        <v>16</v>
      </c>
    </row>
    <row r="25" spans="1:21" ht="18">
      <c r="A25" s="305" t="s">
        <v>106</v>
      </c>
      <c r="B25" s="638">
        <v>0</v>
      </c>
      <c r="C25" s="638">
        <v>0</v>
      </c>
      <c r="D25" s="638">
        <v>0</v>
      </c>
      <c r="E25" s="638">
        <v>0</v>
      </c>
      <c r="F25" s="39" t="s">
        <v>189</v>
      </c>
      <c r="G25" s="39" t="s">
        <v>189</v>
      </c>
      <c r="H25" s="39" t="s">
        <v>189</v>
      </c>
      <c r="I25" s="39" t="s">
        <v>189</v>
      </c>
      <c r="J25" s="438">
        <v>19.053</v>
      </c>
      <c r="K25" s="438">
        <v>22.247</v>
      </c>
      <c r="L25" s="386">
        <v>17.3</v>
      </c>
      <c r="M25" s="386">
        <v>18.172</v>
      </c>
      <c r="N25" s="386">
        <v>12.175</v>
      </c>
      <c r="O25" s="386">
        <v>13.4</v>
      </c>
      <c r="P25" s="391">
        <v>14.3</v>
      </c>
      <c r="Q25" s="391">
        <v>12.7</v>
      </c>
      <c r="R25" s="391">
        <v>14.4</v>
      </c>
      <c r="S25" s="391">
        <v>16</v>
      </c>
      <c r="T25" s="391">
        <v>15</v>
      </c>
      <c r="U25" s="391">
        <v>13.1</v>
      </c>
    </row>
    <row r="26" spans="1:21" ht="15.75">
      <c r="A26" s="37" t="s">
        <v>141</v>
      </c>
      <c r="B26" s="647">
        <v>0</v>
      </c>
      <c r="C26" s="647">
        <v>0</v>
      </c>
      <c r="D26" s="647">
        <v>0</v>
      </c>
      <c r="E26" s="647">
        <v>0</v>
      </c>
      <c r="F26" s="646">
        <f aca="true" t="shared" si="1" ref="F26:U26">SUM(F22:F25)</f>
        <v>55.9</v>
      </c>
      <c r="G26" s="646">
        <f t="shared" si="1"/>
        <v>78.5</v>
      </c>
      <c r="H26" s="646">
        <f t="shared" si="1"/>
        <v>80.7</v>
      </c>
      <c r="I26" s="646">
        <f t="shared" si="1"/>
        <v>85.2</v>
      </c>
      <c r="J26" s="646">
        <f t="shared" si="1"/>
        <v>116.86699999999999</v>
      </c>
      <c r="K26" s="646">
        <f t="shared" si="1"/>
        <v>126.025</v>
      </c>
      <c r="L26" s="646">
        <f t="shared" si="1"/>
        <v>121.9</v>
      </c>
      <c r="M26" s="646">
        <f t="shared" si="1"/>
        <v>144.559</v>
      </c>
      <c r="N26" s="646">
        <f t="shared" si="1"/>
        <v>152.216</v>
      </c>
      <c r="O26" s="646">
        <f t="shared" si="1"/>
        <v>140.20000000000002</v>
      </c>
      <c r="P26" s="646">
        <f t="shared" si="1"/>
        <v>138.4</v>
      </c>
      <c r="Q26" s="646">
        <f t="shared" si="1"/>
        <v>138.6</v>
      </c>
      <c r="R26" s="646">
        <f t="shared" si="1"/>
        <v>141.6</v>
      </c>
      <c r="S26" s="646">
        <f t="shared" si="1"/>
        <v>138</v>
      </c>
      <c r="T26" s="646">
        <f t="shared" si="1"/>
        <v>135.3</v>
      </c>
      <c r="U26" s="646">
        <f t="shared" si="1"/>
        <v>133.79999999999998</v>
      </c>
    </row>
    <row r="27" spans="1:9" ht="8.25" customHeight="1">
      <c r="A27" s="33"/>
      <c r="B27" s="38"/>
      <c r="C27" s="38"/>
      <c r="D27" s="38"/>
      <c r="E27" s="38"/>
      <c r="F27" s="38"/>
      <c r="G27" s="38"/>
      <c r="H27" s="38"/>
      <c r="I27"/>
    </row>
    <row r="28" spans="1:9" ht="15.75">
      <c r="A28" s="37" t="s">
        <v>240</v>
      </c>
      <c r="B28" s="40"/>
      <c r="C28" s="40"/>
      <c r="D28" s="40"/>
      <c r="E28" s="40"/>
      <c r="F28" s="40"/>
      <c r="G28" s="40"/>
      <c r="H28" s="40"/>
      <c r="I28"/>
    </row>
    <row r="29" spans="1:9" ht="15">
      <c r="A29" s="33" t="s">
        <v>310</v>
      </c>
      <c r="B29"/>
      <c r="C29"/>
      <c r="D29"/>
      <c r="E29"/>
      <c r="F29"/>
      <c r="G29"/>
      <c r="H29"/>
      <c r="I29"/>
    </row>
    <row r="30" spans="1:21" ht="18">
      <c r="A30" s="33" t="s">
        <v>660</v>
      </c>
      <c r="B30" s="638">
        <v>0</v>
      </c>
      <c r="C30" s="638">
        <v>0</v>
      </c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0</v>
      </c>
      <c r="N30" s="638">
        <v>0</v>
      </c>
      <c r="O30" s="638">
        <v>0</v>
      </c>
      <c r="P30" s="638">
        <v>0</v>
      </c>
      <c r="Q30" s="638">
        <v>0</v>
      </c>
      <c r="R30" s="638">
        <v>0</v>
      </c>
      <c r="S30" s="638">
        <v>0</v>
      </c>
      <c r="T30" s="638">
        <v>0</v>
      </c>
      <c r="U30" s="638">
        <v>0</v>
      </c>
    </row>
    <row r="31" spans="1:21" ht="18">
      <c r="A31" s="25" t="s">
        <v>661</v>
      </c>
      <c r="B31" s="638">
        <v>0</v>
      </c>
      <c r="C31" s="638">
        <v>0</v>
      </c>
      <c r="D31" s="73">
        <v>13.246</v>
      </c>
      <c r="E31" s="73">
        <v>13.923</v>
      </c>
      <c r="F31" s="73">
        <v>14.501</v>
      </c>
      <c r="G31" s="73">
        <v>13.337</v>
      </c>
      <c r="H31" s="73">
        <v>11.06</v>
      </c>
      <c r="I31" s="36">
        <v>13.883</v>
      </c>
      <c r="J31" s="234">
        <v>8.903</v>
      </c>
      <c r="K31" s="234">
        <v>8.118</v>
      </c>
      <c r="L31" s="391">
        <v>7.531</v>
      </c>
      <c r="M31" s="391">
        <v>5.8</v>
      </c>
      <c r="N31" s="391">
        <v>5.95</v>
      </c>
      <c r="O31" s="391">
        <v>5.6</v>
      </c>
      <c r="P31" s="391">
        <v>7</v>
      </c>
      <c r="Q31" s="391">
        <v>16.7</v>
      </c>
      <c r="R31" s="386">
        <v>1.03</v>
      </c>
      <c r="S31" s="386">
        <v>3.9</v>
      </c>
      <c r="T31" s="386">
        <v>4.4</v>
      </c>
      <c r="U31" s="386">
        <v>3</v>
      </c>
    </row>
    <row r="32" spans="1:21" ht="15">
      <c r="A32" s="25"/>
      <c r="B32" s="73"/>
      <c r="C32" s="73"/>
      <c r="D32" s="73"/>
      <c r="E32" s="73"/>
      <c r="F32" s="73"/>
      <c r="G32" s="73"/>
      <c r="H32" s="73"/>
      <c r="I32" s="36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</row>
    <row r="33" spans="1:21" ht="15.75">
      <c r="A33" s="2" t="s">
        <v>333</v>
      </c>
      <c r="B33" s="73"/>
      <c r="C33" s="73"/>
      <c r="D33" s="73"/>
      <c r="E33" s="73"/>
      <c r="F33" s="73"/>
      <c r="G33" s="73"/>
      <c r="H33" s="73"/>
      <c r="I33" s="36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</row>
    <row r="34" spans="1:21" ht="15">
      <c r="A34" s="25" t="s">
        <v>334</v>
      </c>
      <c r="B34" s="638">
        <v>0</v>
      </c>
      <c r="C34" s="638">
        <v>0</v>
      </c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234">
        <v>2.257</v>
      </c>
      <c r="L34" s="391">
        <v>2.1</v>
      </c>
      <c r="M34" s="391">
        <v>2.4</v>
      </c>
      <c r="N34" s="391">
        <v>2.536</v>
      </c>
      <c r="O34" s="391">
        <v>2.96</v>
      </c>
      <c r="P34" s="391">
        <v>3.352</v>
      </c>
      <c r="Q34" s="391">
        <v>2.62</v>
      </c>
      <c r="R34" s="391">
        <v>4.9</v>
      </c>
      <c r="S34" s="391">
        <v>3.3</v>
      </c>
      <c r="T34" s="391">
        <v>2.996</v>
      </c>
      <c r="U34" s="391">
        <v>4.9</v>
      </c>
    </row>
    <row r="35" spans="1:9" ht="15">
      <c r="A35" s="25"/>
      <c r="B35" s="39"/>
      <c r="C35" s="39"/>
      <c r="D35" s="39"/>
      <c r="E35" s="39"/>
      <c r="F35" s="39"/>
      <c r="G35" s="39"/>
      <c r="H35" s="39"/>
      <c r="I35" s="25"/>
    </row>
    <row r="36" spans="1:9" ht="15.75">
      <c r="A36" s="2" t="s">
        <v>398</v>
      </c>
      <c r="B36" s="39"/>
      <c r="C36" s="39"/>
      <c r="D36" s="39"/>
      <c r="E36" s="39"/>
      <c r="F36" s="39"/>
      <c r="G36" s="39"/>
      <c r="H36" s="39"/>
      <c r="I36" s="25"/>
    </row>
    <row r="37" spans="1:21" ht="15">
      <c r="A37" s="25" t="s">
        <v>302</v>
      </c>
      <c r="B37" s="638">
        <v>0</v>
      </c>
      <c r="C37" s="638">
        <v>0</v>
      </c>
      <c r="D37" s="638">
        <v>0</v>
      </c>
      <c r="E37" s="638">
        <v>0</v>
      </c>
      <c r="F37" s="638">
        <v>0</v>
      </c>
      <c r="G37" s="638">
        <v>0</v>
      </c>
      <c r="H37" s="73">
        <v>22.119</v>
      </c>
      <c r="I37" s="73">
        <v>24.179</v>
      </c>
      <c r="J37" s="234">
        <v>12.616</v>
      </c>
      <c r="K37" s="234">
        <v>10.3</v>
      </c>
      <c r="L37" s="442">
        <v>13.4</v>
      </c>
      <c r="M37" s="442">
        <v>12.8</v>
      </c>
      <c r="N37" s="442">
        <v>9.629</v>
      </c>
      <c r="O37" s="638">
        <v>0</v>
      </c>
      <c r="P37" s="638">
        <v>0</v>
      </c>
      <c r="Q37" s="638">
        <v>0</v>
      </c>
      <c r="R37" s="638">
        <v>0</v>
      </c>
      <c r="S37" s="638">
        <v>0</v>
      </c>
      <c r="T37" s="638">
        <v>0</v>
      </c>
      <c r="U37" s="638">
        <v>0</v>
      </c>
    </row>
    <row r="38" spans="1:21" ht="15">
      <c r="A38" s="25"/>
      <c r="B38" s="18"/>
      <c r="C38" s="18"/>
      <c r="D38" s="18"/>
      <c r="E38" s="18"/>
      <c r="F38" s="18"/>
      <c r="G38" s="18"/>
      <c r="H38" s="18"/>
      <c r="I38"/>
      <c r="J38" s="234"/>
      <c r="K38" s="234"/>
      <c r="L38" s="442"/>
      <c r="M38" s="442"/>
      <c r="N38" s="442"/>
      <c r="O38" s="442"/>
      <c r="P38" s="442"/>
      <c r="Q38" s="442"/>
      <c r="R38" s="442"/>
      <c r="S38" s="442"/>
      <c r="T38" s="442"/>
      <c r="U38" s="442"/>
    </row>
    <row r="39" spans="1:21" ht="18.75">
      <c r="A39" s="2" t="s">
        <v>662</v>
      </c>
      <c r="B39"/>
      <c r="C39"/>
      <c r="D39"/>
      <c r="E39"/>
      <c r="F39"/>
      <c r="G39"/>
      <c r="H39"/>
      <c r="I39"/>
      <c r="K39" s="391"/>
      <c r="L39" s="391"/>
      <c r="M39" s="391"/>
      <c r="N39" s="442"/>
      <c r="O39" s="442"/>
      <c r="P39" s="442"/>
      <c r="Q39" s="442"/>
      <c r="R39" s="442"/>
      <c r="S39" s="442"/>
      <c r="T39" s="442"/>
      <c r="U39" s="442"/>
    </row>
    <row r="40" spans="1:21" ht="14.25" customHeight="1">
      <c r="A40" s="650" t="s">
        <v>453</v>
      </c>
      <c r="B40" s="638">
        <v>0</v>
      </c>
      <c r="C40" s="638">
        <v>0</v>
      </c>
      <c r="D40" s="638">
        <v>0</v>
      </c>
      <c r="E40" s="41">
        <v>96.3035</v>
      </c>
      <c r="F40" s="41">
        <v>137.943</v>
      </c>
      <c r="G40" s="41">
        <v>145.672</v>
      </c>
      <c r="H40" s="41">
        <v>125.686</v>
      </c>
      <c r="I40" s="25">
        <v>120.4</v>
      </c>
      <c r="J40" s="638">
        <v>0</v>
      </c>
      <c r="K40" s="638">
        <v>0</v>
      </c>
      <c r="L40" s="638">
        <v>0</v>
      </c>
      <c r="M40" s="638">
        <v>0</v>
      </c>
      <c r="N40" s="391">
        <v>2.654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</row>
    <row r="41" ht="14.25" customHeight="1">
      <c r="A41" s="33"/>
    </row>
    <row r="42" ht="18.75">
      <c r="A42" s="37" t="s">
        <v>663</v>
      </c>
    </row>
    <row r="43" spans="1:21" ht="15">
      <c r="A43" s="25" t="s">
        <v>315</v>
      </c>
      <c r="B43" s="638">
        <v>0</v>
      </c>
      <c r="C43" s="638">
        <v>0</v>
      </c>
      <c r="D43" s="638">
        <v>0</v>
      </c>
      <c r="E43" s="41">
        <v>183.669</v>
      </c>
      <c r="F43" s="41">
        <v>211.652</v>
      </c>
      <c r="G43" s="41">
        <v>227.713</v>
      </c>
      <c r="H43" s="41">
        <v>206.316</v>
      </c>
      <c r="I43" s="25">
        <v>204.6</v>
      </c>
      <c r="J43" s="444">
        <v>136.845</v>
      </c>
      <c r="K43" s="444">
        <v>138.1</v>
      </c>
      <c r="L43" s="445">
        <v>146.2</v>
      </c>
      <c r="M43" s="445">
        <v>141.2</v>
      </c>
      <c r="N43" s="445">
        <v>154.1</v>
      </c>
      <c r="O43" s="445">
        <v>146.3</v>
      </c>
      <c r="P43" s="445">
        <v>169.238</v>
      </c>
      <c r="Q43" s="445">
        <v>177.495</v>
      </c>
      <c r="R43" s="445">
        <v>170.944</v>
      </c>
      <c r="S43" s="445">
        <v>166.2</v>
      </c>
      <c r="T43" s="445">
        <v>164</v>
      </c>
      <c r="U43" s="445">
        <v>169</v>
      </c>
    </row>
    <row r="44" spans="1:21" ht="15">
      <c r="A44" s="25" t="s">
        <v>316</v>
      </c>
      <c r="B44" s="638">
        <v>0</v>
      </c>
      <c r="C44" s="638">
        <v>0</v>
      </c>
      <c r="D44" s="638">
        <v>0</v>
      </c>
      <c r="E44" s="41">
        <v>79.014</v>
      </c>
      <c r="F44" s="41">
        <v>109.524</v>
      </c>
      <c r="G44" s="41">
        <v>126.054</v>
      </c>
      <c r="H44" s="41">
        <v>113.546</v>
      </c>
      <c r="I44" s="25">
        <v>109.3</v>
      </c>
      <c r="J44" s="444">
        <v>211.011</v>
      </c>
      <c r="K44" s="444">
        <v>216.1</v>
      </c>
      <c r="L44" s="445">
        <v>229.7</v>
      </c>
      <c r="M44" s="445">
        <v>221.9</v>
      </c>
      <c r="N44" s="445">
        <v>232.1</v>
      </c>
      <c r="O44" s="445">
        <v>238.8</v>
      </c>
      <c r="P44" s="445">
        <v>244.975</v>
      </c>
      <c r="Q44" s="445">
        <v>256</v>
      </c>
      <c r="R44" s="445">
        <v>248.756</v>
      </c>
      <c r="S44" s="445">
        <v>264.4</v>
      </c>
      <c r="T44" s="445">
        <v>272</v>
      </c>
      <c r="U44" s="445">
        <v>254</v>
      </c>
    </row>
    <row r="45" spans="1:21" ht="18">
      <c r="A45" s="25" t="s">
        <v>48</v>
      </c>
      <c r="B45" s="638">
        <v>0</v>
      </c>
      <c r="C45" s="638">
        <v>0</v>
      </c>
      <c r="D45" s="638">
        <v>0</v>
      </c>
      <c r="E45" s="41">
        <v>155.111</v>
      </c>
      <c r="F45" s="41">
        <v>211.3045</v>
      </c>
      <c r="G45" s="41">
        <v>213.5365</v>
      </c>
      <c r="H45" s="41">
        <v>189.178</v>
      </c>
      <c r="I45" s="25">
        <v>205.3</v>
      </c>
      <c r="J45" s="444">
        <v>112.946</v>
      </c>
      <c r="K45" s="444">
        <v>113.5</v>
      </c>
      <c r="L45" s="445">
        <v>126.3</v>
      </c>
      <c r="M45" s="445">
        <v>110.2</v>
      </c>
      <c r="N45" s="445">
        <v>122.7</v>
      </c>
      <c r="O45" s="445">
        <v>108.4</v>
      </c>
      <c r="P45" s="445">
        <v>117.913</v>
      </c>
      <c r="Q45" s="445">
        <v>131.776</v>
      </c>
      <c r="R45" s="227" t="s">
        <v>152</v>
      </c>
      <c r="S45" s="227" t="s">
        <v>152</v>
      </c>
      <c r="T45" s="227" t="s">
        <v>152</v>
      </c>
      <c r="U45" s="227" t="s">
        <v>152</v>
      </c>
    </row>
    <row r="46" spans="1:21" ht="18">
      <c r="A46" s="25" t="s">
        <v>664</v>
      </c>
      <c r="B46" s="638">
        <v>0</v>
      </c>
      <c r="C46" s="638">
        <v>0</v>
      </c>
      <c r="D46" s="638">
        <v>0</v>
      </c>
      <c r="E46" s="39">
        <v>14.3</v>
      </c>
      <c r="F46" s="39">
        <v>18.6</v>
      </c>
      <c r="G46" s="39">
        <v>21.5</v>
      </c>
      <c r="H46" s="39">
        <v>19.1</v>
      </c>
      <c r="I46" s="41">
        <v>20.6</v>
      </c>
      <c r="J46" s="444">
        <v>185.816</v>
      </c>
      <c r="K46" s="444">
        <v>180.7</v>
      </c>
      <c r="L46" s="445">
        <v>206.3</v>
      </c>
      <c r="M46" s="445">
        <v>194.5</v>
      </c>
      <c r="N46" s="445">
        <v>213</v>
      </c>
      <c r="O46" s="445">
        <v>196.8</v>
      </c>
      <c r="P46" s="445">
        <v>207.874</v>
      </c>
      <c r="Q46" s="445">
        <v>206.84</v>
      </c>
      <c r="R46" s="445">
        <v>214.432</v>
      </c>
      <c r="S46" s="445">
        <v>205.9</v>
      </c>
      <c r="T46" s="445">
        <v>189</v>
      </c>
      <c r="U46" s="445">
        <v>192</v>
      </c>
    </row>
    <row r="47" spans="1:21" ht="18">
      <c r="A47" s="25" t="s">
        <v>49</v>
      </c>
      <c r="B47" s="638">
        <v>0</v>
      </c>
      <c r="C47" s="638">
        <v>0</v>
      </c>
      <c r="D47" s="638">
        <v>0</v>
      </c>
      <c r="E47" s="39" t="s">
        <v>189</v>
      </c>
      <c r="F47" s="39" t="s">
        <v>189</v>
      </c>
      <c r="G47" s="39" t="s">
        <v>189</v>
      </c>
      <c r="H47" s="41">
        <v>148.4</v>
      </c>
      <c r="I47" s="41">
        <v>147.9</v>
      </c>
      <c r="J47" s="444">
        <v>20.391</v>
      </c>
      <c r="K47" s="444">
        <v>20.2</v>
      </c>
      <c r="L47" s="445">
        <v>23.5</v>
      </c>
      <c r="M47" s="445">
        <v>19.3</v>
      </c>
      <c r="N47" s="445">
        <v>23.4</v>
      </c>
      <c r="O47" s="445">
        <v>18.4</v>
      </c>
      <c r="P47" s="445">
        <v>20.539</v>
      </c>
      <c r="Q47" s="445">
        <v>23.475</v>
      </c>
      <c r="R47" s="227" t="s">
        <v>152</v>
      </c>
      <c r="S47" s="227" t="s">
        <v>152</v>
      </c>
      <c r="T47" s="227" t="s">
        <v>152</v>
      </c>
      <c r="U47" s="227" t="s">
        <v>152</v>
      </c>
    </row>
    <row r="48" spans="1:21" ht="15.75">
      <c r="A48" s="37" t="s">
        <v>141</v>
      </c>
      <c r="B48" s="647">
        <v>0</v>
      </c>
      <c r="C48" s="647">
        <v>0</v>
      </c>
      <c r="D48" s="647">
        <v>0</v>
      </c>
      <c r="E48" s="646">
        <f aca="true" t="shared" si="2" ref="E48:U48">SUM(E43:E47)</f>
        <v>432.094</v>
      </c>
      <c r="F48" s="646">
        <f t="shared" si="2"/>
        <v>551.0805</v>
      </c>
      <c r="G48" s="646">
        <f t="shared" si="2"/>
        <v>588.8035</v>
      </c>
      <c r="H48" s="646">
        <f t="shared" si="2"/>
        <v>676.54</v>
      </c>
      <c r="I48" s="646">
        <f t="shared" si="2"/>
        <v>687.7</v>
      </c>
      <c r="J48" s="646">
        <f t="shared" si="2"/>
        <v>667.009</v>
      </c>
      <c r="K48" s="646">
        <f t="shared" si="2"/>
        <v>668.6</v>
      </c>
      <c r="L48" s="646">
        <f t="shared" si="2"/>
        <v>732</v>
      </c>
      <c r="M48" s="646">
        <f t="shared" si="2"/>
        <v>687.0999999999999</v>
      </c>
      <c r="N48" s="646">
        <f t="shared" si="2"/>
        <v>745.3</v>
      </c>
      <c r="O48" s="646">
        <f t="shared" si="2"/>
        <v>708.6999999999999</v>
      </c>
      <c r="P48" s="646">
        <f t="shared" si="2"/>
        <v>760.539</v>
      </c>
      <c r="Q48" s="646">
        <f t="shared" si="2"/>
        <v>795.586</v>
      </c>
      <c r="R48" s="646">
        <f t="shared" si="2"/>
        <v>634.132</v>
      </c>
      <c r="S48" s="646">
        <f t="shared" si="2"/>
        <v>636.5</v>
      </c>
      <c r="T48" s="646">
        <f t="shared" si="2"/>
        <v>625</v>
      </c>
      <c r="U48" s="646">
        <f t="shared" si="2"/>
        <v>615</v>
      </c>
    </row>
    <row r="49" spans="1:21" ht="15.75">
      <c r="A49" s="37"/>
      <c r="B49" s="635"/>
      <c r="C49" s="635"/>
      <c r="D49" s="635"/>
      <c r="E49" s="635"/>
      <c r="F49" s="635"/>
      <c r="G49" s="635"/>
      <c r="H49" s="635"/>
      <c r="I49" s="635"/>
      <c r="J49" s="635"/>
      <c r="K49" s="635"/>
      <c r="L49" s="635"/>
      <c r="M49" s="635"/>
      <c r="N49" s="635"/>
      <c r="O49" s="635"/>
      <c r="P49" s="635"/>
      <c r="Q49" s="635"/>
      <c r="R49" s="635"/>
      <c r="S49" s="635"/>
      <c r="T49" s="635"/>
      <c r="U49" s="635"/>
    </row>
    <row r="50" spans="1:11" ht="15.75">
      <c r="A50" s="2" t="s">
        <v>577</v>
      </c>
      <c r="B50" s="39"/>
      <c r="C50" s="39"/>
      <c r="D50" s="39"/>
      <c r="E50" s="39"/>
      <c r="F50" s="39"/>
      <c r="G50" s="39"/>
      <c r="H50" s="39"/>
      <c r="I50" s="41"/>
      <c r="J50" s="438"/>
      <c r="K50" s="390"/>
    </row>
    <row r="51" spans="1:21" ht="18">
      <c r="A51" s="25" t="s">
        <v>665</v>
      </c>
      <c r="B51" s="638">
        <v>0</v>
      </c>
      <c r="C51" s="638">
        <v>0</v>
      </c>
      <c r="D51" s="638">
        <v>0</v>
      </c>
      <c r="E51" s="638">
        <v>0</v>
      </c>
      <c r="F51" s="39">
        <v>22</v>
      </c>
      <c r="G51" s="39">
        <v>23.2</v>
      </c>
      <c r="H51" s="36">
        <v>21</v>
      </c>
      <c r="I51" s="41">
        <v>20.1</v>
      </c>
      <c r="J51" s="234">
        <v>142.09</v>
      </c>
      <c r="K51" s="234">
        <v>133.6</v>
      </c>
      <c r="L51" s="391">
        <v>132.6</v>
      </c>
      <c r="M51" s="391">
        <v>128.8</v>
      </c>
      <c r="N51" s="391">
        <v>129.1</v>
      </c>
      <c r="O51" s="391">
        <v>145.1</v>
      </c>
      <c r="P51" s="391">
        <v>149.85</v>
      </c>
      <c r="Q51" s="391">
        <v>149.5</v>
      </c>
      <c r="R51" s="391">
        <v>141.4</v>
      </c>
      <c r="S51" s="391">
        <v>147.8</v>
      </c>
      <c r="T51" s="442" t="s">
        <v>152</v>
      </c>
      <c r="U51" s="442" t="s">
        <v>152</v>
      </c>
    </row>
    <row r="52" spans="1:21" ht="18">
      <c r="A52" s="25" t="s">
        <v>666</v>
      </c>
      <c r="B52" s="638">
        <v>0</v>
      </c>
      <c r="C52" s="638">
        <v>0</v>
      </c>
      <c r="D52" s="638">
        <v>0</v>
      </c>
      <c r="E52" s="638">
        <v>0</v>
      </c>
      <c r="F52" s="39" t="s">
        <v>189</v>
      </c>
      <c r="G52" s="39" t="s">
        <v>189</v>
      </c>
      <c r="H52" s="39" t="s">
        <v>189</v>
      </c>
      <c r="I52" s="39" t="s">
        <v>189</v>
      </c>
      <c r="J52" s="438" t="s">
        <v>189</v>
      </c>
      <c r="K52" s="234">
        <v>74.4</v>
      </c>
      <c r="L52" s="391">
        <v>72.5</v>
      </c>
      <c r="M52" s="391">
        <v>78.9</v>
      </c>
      <c r="N52" s="391">
        <v>69.5</v>
      </c>
      <c r="O52" s="391">
        <v>72.8</v>
      </c>
      <c r="P52" s="391">
        <v>74.875</v>
      </c>
      <c r="Q52" s="391">
        <v>71.28</v>
      </c>
      <c r="R52" s="391">
        <v>70</v>
      </c>
      <c r="S52" s="391">
        <v>71.6</v>
      </c>
      <c r="T52" s="391">
        <v>63.5</v>
      </c>
      <c r="U52" s="391">
        <v>57.7</v>
      </c>
    </row>
    <row r="53" spans="1:21" ht="15.75">
      <c r="A53" s="37" t="s">
        <v>141</v>
      </c>
      <c r="B53" s="647">
        <v>0</v>
      </c>
      <c r="C53" s="647">
        <v>0</v>
      </c>
      <c r="D53" s="647">
        <v>0</v>
      </c>
      <c r="E53" s="647">
        <v>0</v>
      </c>
      <c r="F53" s="648">
        <f aca="true" t="shared" si="3" ref="F53:U53">SUM(F51:F52)</f>
        <v>22</v>
      </c>
      <c r="G53" s="648">
        <f t="shared" si="3"/>
        <v>23.2</v>
      </c>
      <c r="H53" s="648">
        <f t="shared" si="3"/>
        <v>21</v>
      </c>
      <c r="I53" s="648">
        <f t="shared" si="3"/>
        <v>20.1</v>
      </c>
      <c r="J53" s="648">
        <f t="shared" si="3"/>
        <v>142.09</v>
      </c>
      <c r="K53" s="648">
        <f t="shared" si="3"/>
        <v>208</v>
      </c>
      <c r="L53" s="648">
        <f t="shared" si="3"/>
        <v>205.1</v>
      </c>
      <c r="M53" s="648">
        <f t="shared" si="3"/>
        <v>207.70000000000002</v>
      </c>
      <c r="N53" s="648">
        <f t="shared" si="3"/>
        <v>198.6</v>
      </c>
      <c r="O53" s="648">
        <f t="shared" si="3"/>
        <v>217.89999999999998</v>
      </c>
      <c r="P53" s="648">
        <f t="shared" si="3"/>
        <v>224.725</v>
      </c>
      <c r="Q53" s="648">
        <f t="shared" si="3"/>
        <v>220.78</v>
      </c>
      <c r="R53" s="648">
        <f t="shared" si="3"/>
        <v>211.4</v>
      </c>
      <c r="S53" s="648">
        <f t="shared" si="3"/>
        <v>219.4</v>
      </c>
      <c r="T53" s="648">
        <f t="shared" si="3"/>
        <v>63.5</v>
      </c>
      <c r="U53" s="648">
        <f t="shared" si="3"/>
        <v>57.7</v>
      </c>
    </row>
    <row r="54" spans="1:11" ht="15.75">
      <c r="A54" s="37"/>
      <c r="J54" s="438"/>
      <c r="K54" s="390"/>
    </row>
    <row r="55" spans="1:11" ht="18.75">
      <c r="A55" s="2" t="s">
        <v>667</v>
      </c>
      <c r="J55" s="438"/>
      <c r="K55" s="390"/>
    </row>
    <row r="56" spans="1:21" ht="18">
      <c r="A56" s="25" t="s">
        <v>668</v>
      </c>
      <c r="B56" s="638">
        <v>0</v>
      </c>
      <c r="C56" s="638">
        <v>0</v>
      </c>
      <c r="D56" s="638">
        <v>0</v>
      </c>
      <c r="E56" s="638">
        <v>0</v>
      </c>
      <c r="F56" s="39">
        <v>62.6</v>
      </c>
      <c r="G56" s="39">
        <v>65.1</v>
      </c>
      <c r="H56" s="39">
        <v>60.9</v>
      </c>
      <c r="I56" s="41">
        <v>62.2</v>
      </c>
      <c r="J56" s="180">
        <v>20.8</v>
      </c>
      <c r="K56" s="180">
        <v>18.5</v>
      </c>
      <c r="L56" s="384">
        <v>21.1</v>
      </c>
      <c r="M56" s="227" t="s">
        <v>152</v>
      </c>
      <c r="N56" s="227" t="s">
        <v>152</v>
      </c>
      <c r="O56" s="227" t="s">
        <v>152</v>
      </c>
      <c r="P56" s="227" t="s">
        <v>152</v>
      </c>
      <c r="Q56" s="227" t="s">
        <v>152</v>
      </c>
      <c r="R56" s="227" t="s">
        <v>152</v>
      </c>
      <c r="S56" s="227" t="s">
        <v>152</v>
      </c>
      <c r="T56" s="227" t="s">
        <v>152</v>
      </c>
      <c r="U56" s="227" t="s">
        <v>152</v>
      </c>
    </row>
    <row r="57" spans="1:21" ht="18">
      <c r="A57" s="25" t="s">
        <v>669</v>
      </c>
      <c r="B57" s="638">
        <v>0</v>
      </c>
      <c r="C57" s="638">
        <v>0</v>
      </c>
      <c r="D57" s="638">
        <v>0</v>
      </c>
      <c r="E57" s="638">
        <v>0</v>
      </c>
      <c r="F57" s="39">
        <v>151.8</v>
      </c>
      <c r="G57" s="39">
        <v>156.9</v>
      </c>
      <c r="H57" s="39">
        <v>156.9</v>
      </c>
      <c r="I57" s="41">
        <v>159.9</v>
      </c>
      <c r="J57" s="227" t="s">
        <v>152</v>
      </c>
      <c r="K57" s="227" t="s">
        <v>152</v>
      </c>
      <c r="L57" s="227" t="s">
        <v>152</v>
      </c>
      <c r="M57" s="391">
        <v>22.847</v>
      </c>
      <c r="N57" s="391">
        <v>33.713</v>
      </c>
      <c r="O57" s="391">
        <v>38.2</v>
      </c>
      <c r="P57" s="227">
        <v>37.3</v>
      </c>
      <c r="Q57" s="227">
        <v>36.5</v>
      </c>
      <c r="R57" s="227">
        <v>34.2</v>
      </c>
      <c r="S57" s="227">
        <v>37</v>
      </c>
      <c r="T57" s="227">
        <v>36</v>
      </c>
      <c r="U57" s="227">
        <v>36.6</v>
      </c>
    </row>
    <row r="58" spans="1:21" ht="15">
      <c r="A58" s="25" t="s">
        <v>409</v>
      </c>
      <c r="B58" s="638">
        <v>0</v>
      </c>
      <c r="C58" s="638">
        <v>0</v>
      </c>
      <c r="D58" s="638">
        <v>0</v>
      </c>
      <c r="E58" s="638">
        <v>0</v>
      </c>
      <c r="F58" s="39" t="s">
        <v>152</v>
      </c>
      <c r="G58" s="39" t="s">
        <v>152</v>
      </c>
      <c r="H58" s="39" t="s">
        <v>152</v>
      </c>
      <c r="I58" s="39" t="s">
        <v>152</v>
      </c>
      <c r="J58" s="234">
        <v>60</v>
      </c>
      <c r="K58" s="234">
        <v>61.5</v>
      </c>
      <c r="L58" s="391">
        <v>65.6</v>
      </c>
      <c r="M58" s="391">
        <v>75.373</v>
      </c>
      <c r="N58" s="391">
        <v>95.139</v>
      </c>
      <c r="O58" s="391">
        <v>101.4</v>
      </c>
      <c r="P58" s="227">
        <v>102.6</v>
      </c>
      <c r="Q58" s="227">
        <v>102.4</v>
      </c>
      <c r="R58" s="227">
        <v>101.6</v>
      </c>
      <c r="S58" s="227">
        <v>105.9</v>
      </c>
      <c r="T58" s="227">
        <v>112.4</v>
      </c>
      <c r="U58" s="227">
        <v>113.1</v>
      </c>
    </row>
    <row r="59" spans="1:21" ht="15">
      <c r="A59" s="33" t="s">
        <v>410</v>
      </c>
      <c r="B59" s="638">
        <v>0</v>
      </c>
      <c r="C59" s="638">
        <v>0</v>
      </c>
      <c r="D59" s="638">
        <v>0</v>
      </c>
      <c r="E59" s="638">
        <v>0</v>
      </c>
      <c r="F59" s="39" t="s">
        <v>152</v>
      </c>
      <c r="G59" s="39" t="s">
        <v>152</v>
      </c>
      <c r="H59" s="39" t="s">
        <v>152</v>
      </c>
      <c r="I59" s="39" t="s">
        <v>152</v>
      </c>
      <c r="J59" s="305">
        <v>157.8</v>
      </c>
      <c r="K59" s="381">
        <v>128</v>
      </c>
      <c r="L59" s="446">
        <v>113.2</v>
      </c>
      <c r="M59" s="446">
        <v>128.211</v>
      </c>
      <c r="N59" s="446">
        <v>142.845</v>
      </c>
      <c r="O59" s="446">
        <v>144.7</v>
      </c>
      <c r="P59" s="442">
        <v>148</v>
      </c>
      <c r="Q59" s="442">
        <v>154.78</v>
      </c>
      <c r="R59" s="442">
        <v>145</v>
      </c>
      <c r="S59" s="442">
        <v>151</v>
      </c>
      <c r="T59" s="442">
        <v>141.5</v>
      </c>
      <c r="U59" s="442">
        <v>138</v>
      </c>
    </row>
    <row r="60" spans="1:21" ht="15">
      <c r="A60" s="143" t="s">
        <v>406</v>
      </c>
      <c r="B60" s="638">
        <v>0</v>
      </c>
      <c r="C60" s="638">
        <v>0</v>
      </c>
      <c r="D60" s="638">
        <v>0</v>
      </c>
      <c r="E60" s="638">
        <v>0</v>
      </c>
      <c r="F60" s="636" t="s">
        <v>152</v>
      </c>
      <c r="G60" s="636" t="s">
        <v>152</v>
      </c>
      <c r="H60" s="636" t="s">
        <v>152</v>
      </c>
      <c r="I60" s="636" t="s">
        <v>152</v>
      </c>
      <c r="J60" s="382" t="s">
        <v>189</v>
      </c>
      <c r="K60" s="382" t="s">
        <v>189</v>
      </c>
      <c r="L60" s="382" t="s">
        <v>189</v>
      </c>
      <c r="M60" s="446">
        <v>14.175</v>
      </c>
      <c r="N60" s="446">
        <v>17.014</v>
      </c>
      <c r="O60" s="446">
        <v>16.6</v>
      </c>
      <c r="P60" s="446">
        <v>16.4</v>
      </c>
      <c r="Q60" s="446">
        <v>14</v>
      </c>
      <c r="R60" s="446">
        <v>13.9</v>
      </c>
      <c r="S60" s="446">
        <v>14.6</v>
      </c>
      <c r="T60" s="446">
        <v>15.4</v>
      </c>
      <c r="U60" s="446">
        <v>16</v>
      </c>
    </row>
    <row r="61" spans="1:21" ht="15.75">
      <c r="A61" s="37" t="s">
        <v>141</v>
      </c>
      <c r="B61" s="647">
        <v>0</v>
      </c>
      <c r="C61" s="647">
        <v>0</v>
      </c>
      <c r="D61" s="647">
        <v>0</v>
      </c>
      <c r="E61" s="647">
        <v>0</v>
      </c>
      <c r="F61" s="646">
        <f aca="true" t="shared" si="4" ref="F61:U61">SUM(F56:F60)</f>
        <v>214.4</v>
      </c>
      <c r="G61" s="646">
        <f t="shared" si="4"/>
        <v>222</v>
      </c>
      <c r="H61" s="646">
        <f t="shared" si="4"/>
        <v>217.8</v>
      </c>
      <c r="I61" s="646">
        <f t="shared" si="4"/>
        <v>222.10000000000002</v>
      </c>
      <c r="J61" s="646">
        <f t="shared" si="4"/>
        <v>238.60000000000002</v>
      </c>
      <c r="K61" s="646">
        <f t="shared" si="4"/>
        <v>208</v>
      </c>
      <c r="L61" s="646">
        <f t="shared" si="4"/>
        <v>199.89999999999998</v>
      </c>
      <c r="M61" s="646">
        <f t="shared" si="4"/>
        <v>240.60600000000002</v>
      </c>
      <c r="N61" s="646">
        <f t="shared" si="4"/>
        <v>288.711</v>
      </c>
      <c r="O61" s="646">
        <f t="shared" si="4"/>
        <v>300.90000000000003</v>
      </c>
      <c r="P61" s="646">
        <f t="shared" si="4"/>
        <v>304.29999999999995</v>
      </c>
      <c r="Q61" s="646">
        <f t="shared" si="4"/>
        <v>307.68</v>
      </c>
      <c r="R61" s="646">
        <f t="shared" si="4"/>
        <v>294.7</v>
      </c>
      <c r="S61" s="646">
        <f t="shared" si="4"/>
        <v>308.5</v>
      </c>
      <c r="T61" s="646">
        <f t="shared" si="4"/>
        <v>305.29999999999995</v>
      </c>
      <c r="U61" s="646">
        <f t="shared" si="4"/>
        <v>303.7</v>
      </c>
    </row>
    <row r="62" spans="1:21" ht="9" customHeight="1">
      <c r="A62" s="37"/>
      <c r="B62" s="637"/>
      <c r="C62" s="637"/>
      <c r="D62" s="637"/>
      <c r="E62" s="637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  <c r="R62" s="635"/>
      <c r="S62" s="635"/>
      <c r="T62" s="635"/>
      <c r="U62" s="635"/>
    </row>
    <row r="63" spans="1:21" ht="15.75">
      <c r="A63" s="639" t="s">
        <v>659</v>
      </c>
      <c r="B63" s="649">
        <f aca="true" t="shared" si="5" ref="B63:J63">+B61+B53+B48+B40+B37+B34+B31+B26+B19+B13</f>
        <v>782.674</v>
      </c>
      <c r="C63" s="649">
        <f t="shared" si="5"/>
        <v>852.222</v>
      </c>
      <c r="D63" s="649">
        <f t="shared" si="5"/>
        <v>957.1859999999999</v>
      </c>
      <c r="E63" s="649">
        <f t="shared" si="5"/>
        <v>1551.7865000000002</v>
      </c>
      <c r="F63" s="649">
        <f t="shared" si="5"/>
        <v>2021.6844999999998</v>
      </c>
      <c r="G63" s="649">
        <f t="shared" si="5"/>
        <v>2103.1145</v>
      </c>
      <c r="H63" s="649">
        <f t="shared" si="5"/>
        <v>2200.105</v>
      </c>
      <c r="I63" s="649">
        <f t="shared" si="5"/>
        <v>2517.6620000000003</v>
      </c>
      <c r="J63" s="649">
        <f t="shared" si="5"/>
        <v>2540.485</v>
      </c>
      <c r="K63" s="649">
        <f aca="true" t="shared" si="6" ref="K63:U63">K61+K53+K48+K40+K37+K34+K31+K26+K19+K16+K13</f>
        <v>2645.5499999999997</v>
      </c>
      <c r="L63" s="649">
        <f t="shared" si="6"/>
        <v>2736.231</v>
      </c>
      <c r="M63" s="649">
        <f t="shared" si="6"/>
        <v>2870.813</v>
      </c>
      <c r="N63" s="649">
        <f t="shared" si="6"/>
        <v>2981.996</v>
      </c>
      <c r="O63" s="649">
        <f t="shared" si="6"/>
        <v>2969.189</v>
      </c>
      <c r="P63" s="649">
        <f t="shared" si="6"/>
        <v>3063.1160000000004</v>
      </c>
      <c r="Q63" s="649">
        <f t="shared" si="6"/>
        <v>3127.766</v>
      </c>
      <c r="R63" s="649">
        <f t="shared" si="6"/>
        <v>2915.2619999999997</v>
      </c>
      <c r="S63" s="649">
        <f t="shared" si="6"/>
        <v>2975.3340000000003</v>
      </c>
      <c r="T63" s="649">
        <f t="shared" si="6"/>
        <v>2780.946</v>
      </c>
      <c r="U63" s="649">
        <f t="shared" si="6"/>
        <v>2788.5600000000004</v>
      </c>
    </row>
    <row r="64" s="184" customFormat="1" ht="18" customHeight="1">
      <c r="A64" s="184" t="s">
        <v>601</v>
      </c>
    </row>
    <row r="65" s="184" customFormat="1" ht="12.75">
      <c r="A65" s="184" t="s">
        <v>527</v>
      </c>
    </row>
    <row r="66" s="184" customFormat="1" ht="12.75">
      <c r="A66" s="184" t="s">
        <v>740</v>
      </c>
    </row>
    <row r="67" s="184" customFormat="1" ht="12.75">
      <c r="A67" s="184" t="s">
        <v>526</v>
      </c>
    </row>
    <row r="68" s="184" customFormat="1" ht="12.75">
      <c r="A68" s="184" t="s">
        <v>525</v>
      </c>
    </row>
    <row r="69" s="184" customFormat="1" ht="12.75">
      <c r="A69" s="184" t="s">
        <v>524</v>
      </c>
    </row>
    <row r="70" s="184" customFormat="1" ht="12.75">
      <c r="A70" s="184" t="s">
        <v>523</v>
      </c>
    </row>
    <row r="71" s="184" customFormat="1" ht="12.75">
      <c r="A71" s="184" t="s">
        <v>581</v>
      </c>
    </row>
    <row r="72" s="184" customFormat="1" ht="12.75">
      <c r="A72" s="184" t="s">
        <v>582</v>
      </c>
    </row>
    <row r="73" s="184" customFormat="1" ht="12.75">
      <c r="A73" s="184" t="s">
        <v>522</v>
      </c>
    </row>
    <row r="74" s="184" customFormat="1" ht="12.75">
      <c r="A74" s="184" t="s">
        <v>107</v>
      </c>
    </row>
    <row r="75" s="184" customFormat="1" ht="12.75">
      <c r="A75" s="184" t="s">
        <v>521</v>
      </c>
    </row>
    <row r="76" s="184" customFormat="1" ht="12.75">
      <c r="A76" s="184" t="s">
        <v>642</v>
      </c>
    </row>
    <row r="77" s="184" customFormat="1" ht="12.75">
      <c r="A77" s="184" t="s">
        <v>611</v>
      </c>
    </row>
    <row r="78" s="184" customFormat="1" ht="12.75">
      <c r="A78" s="184" t="s">
        <v>612</v>
      </c>
    </row>
    <row r="79" s="184" customFormat="1" ht="12.75">
      <c r="A79" s="184" t="s">
        <v>11</v>
      </c>
    </row>
    <row r="80" s="184" customFormat="1" ht="12.75">
      <c r="A80" s="184" t="s">
        <v>520</v>
      </c>
    </row>
    <row r="81" s="184" customFormat="1" ht="12.75">
      <c r="A81" s="184" t="s">
        <v>519</v>
      </c>
    </row>
    <row r="82" s="184" customFormat="1" ht="12.75">
      <c r="A82" s="184" t="s">
        <v>420</v>
      </c>
    </row>
    <row r="83" s="184" customFormat="1" ht="12.75">
      <c r="A83" s="184" t="s">
        <v>518</v>
      </c>
    </row>
    <row r="84" s="184" customFormat="1" ht="12.75">
      <c r="A84" s="184" t="s">
        <v>583</v>
      </c>
    </row>
    <row r="85" s="184" customFormat="1" ht="12.75">
      <c r="A85" s="184" t="s">
        <v>495</v>
      </c>
    </row>
    <row r="86" s="184" customFormat="1" ht="12.75">
      <c r="A86" s="184" t="s">
        <v>517</v>
      </c>
    </row>
    <row r="87" s="184" customFormat="1" ht="12.75">
      <c r="A87" s="184" t="s">
        <v>516</v>
      </c>
    </row>
    <row r="88" ht="15">
      <c r="A88" s="544" t="s">
        <v>56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2" r:id="rId1"/>
  <headerFooter alignWithMargins="0">
    <oddHeader>&amp;R&amp;"Arial,Bold"&amp;14WATER TRANSPORT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7109375" style="25" customWidth="1"/>
    <col min="2" max="10" width="10.7109375" style="25" hidden="1" customWidth="1"/>
    <col min="11" max="20" width="10.7109375" style="25" customWidth="1"/>
    <col min="21" max="21" width="12.00390625" style="25" bestFit="1" customWidth="1"/>
    <col min="22" max="22" width="10.57421875" style="25" bestFit="1" customWidth="1"/>
    <col min="23" max="16384" width="9.140625" style="25" customWidth="1"/>
  </cols>
  <sheetData>
    <row r="1" spans="1:15" ht="16.5">
      <c r="A1" s="533" t="s">
        <v>741</v>
      </c>
      <c r="B1" s="533"/>
      <c r="C1" s="533"/>
      <c r="D1" s="533"/>
      <c r="E1" s="533"/>
      <c r="F1" s="533"/>
      <c r="G1" s="533"/>
      <c r="H1" s="533"/>
      <c r="I1" s="533"/>
      <c r="J1" s="33"/>
      <c r="K1" s="33"/>
      <c r="L1" s="33"/>
      <c r="M1" s="33"/>
      <c r="N1" s="33"/>
      <c r="O1" s="33"/>
    </row>
    <row r="2" spans="1:14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1" ht="19.5" customHeight="1">
      <c r="A3" s="451" t="s">
        <v>211</v>
      </c>
      <c r="B3" s="452">
        <v>1992</v>
      </c>
      <c r="C3" s="452">
        <v>1993</v>
      </c>
      <c r="D3" s="452">
        <v>1994</v>
      </c>
      <c r="E3" s="452">
        <v>1995</v>
      </c>
      <c r="F3" s="452">
        <v>1996</v>
      </c>
      <c r="G3" s="452">
        <v>1997</v>
      </c>
      <c r="H3" s="452">
        <v>1998</v>
      </c>
      <c r="I3" s="452">
        <v>1999</v>
      </c>
      <c r="J3" s="452">
        <v>2000</v>
      </c>
      <c r="K3" s="452">
        <v>2001</v>
      </c>
      <c r="L3" s="452">
        <v>2002</v>
      </c>
      <c r="M3" s="452">
        <v>2003</v>
      </c>
      <c r="N3" s="452">
        <v>2004</v>
      </c>
      <c r="O3" s="452">
        <v>2005</v>
      </c>
      <c r="P3" s="452">
        <v>2006</v>
      </c>
      <c r="Q3" s="452">
        <v>2007</v>
      </c>
      <c r="R3" s="452">
        <v>2008</v>
      </c>
      <c r="S3" s="452">
        <v>2009</v>
      </c>
      <c r="T3" s="452">
        <v>2010</v>
      </c>
      <c r="U3" s="452">
        <v>2011</v>
      </c>
    </row>
    <row r="4" spans="1:10" ht="8.25" customHeight="1">
      <c r="A4" s="84"/>
      <c r="B4" s="84"/>
      <c r="C4" s="84"/>
      <c r="D4" s="84"/>
      <c r="E4" s="84"/>
      <c r="F4" s="84"/>
      <c r="G4" s="84"/>
      <c r="H4" s="84"/>
      <c r="I4" s="84"/>
      <c r="J4" s="93"/>
    </row>
    <row r="5" spans="1:21" ht="15.75" customHeight="1">
      <c r="A5" s="92" t="s">
        <v>563</v>
      </c>
      <c r="B5" s="92"/>
      <c r="C5" s="92"/>
      <c r="D5" s="92"/>
      <c r="E5" s="92"/>
      <c r="F5" s="92"/>
      <c r="G5" s="92"/>
      <c r="H5" s="92"/>
      <c r="I5" s="92"/>
      <c r="M5" s="181"/>
      <c r="N5" s="181"/>
      <c r="O5" s="181"/>
      <c r="Q5" s="16"/>
      <c r="R5" s="16"/>
      <c r="S5" s="16"/>
      <c r="T5" s="16"/>
      <c r="U5" s="16" t="s">
        <v>186</v>
      </c>
    </row>
    <row r="6" spans="1:10" ht="9" customHeight="1">
      <c r="A6" s="92"/>
      <c r="B6" s="92"/>
      <c r="C6" s="92"/>
      <c r="D6" s="92"/>
      <c r="E6" s="92"/>
      <c r="F6" s="92"/>
      <c r="G6" s="92"/>
      <c r="H6" s="92"/>
      <c r="I6" s="92"/>
      <c r="J6" s="91"/>
    </row>
    <row r="7" spans="1:10" ht="15.75" customHeight="1">
      <c r="A7" s="37" t="s">
        <v>108</v>
      </c>
      <c r="B7" s="37"/>
      <c r="C7" s="37"/>
      <c r="D7" s="37"/>
      <c r="E7" s="37"/>
      <c r="F7" s="37"/>
      <c r="G7" s="37"/>
      <c r="H7" s="37"/>
      <c r="I7" s="37"/>
      <c r="J7" s="181"/>
    </row>
    <row r="8" spans="1:21" ht="15">
      <c r="A8" s="33" t="s">
        <v>291</v>
      </c>
      <c r="B8" s="39">
        <v>10.6</v>
      </c>
      <c r="C8" s="39">
        <v>10.8</v>
      </c>
      <c r="D8" s="39">
        <v>13.6</v>
      </c>
      <c r="E8" s="39">
        <v>16</v>
      </c>
      <c r="F8" s="39">
        <v>15.7</v>
      </c>
      <c r="G8" s="39">
        <v>17.3</v>
      </c>
      <c r="H8" s="39">
        <v>18.3</v>
      </c>
      <c r="I8" s="25">
        <v>18.4</v>
      </c>
      <c r="J8" s="41">
        <v>18.2</v>
      </c>
      <c r="K8" s="41">
        <v>18.8</v>
      </c>
      <c r="L8" s="77">
        <v>19</v>
      </c>
      <c r="M8" s="77">
        <v>21</v>
      </c>
      <c r="N8" s="77">
        <v>21.4</v>
      </c>
      <c r="O8" s="77">
        <v>20.704</v>
      </c>
      <c r="P8" s="77">
        <v>21</v>
      </c>
      <c r="Q8" s="77">
        <v>20.6</v>
      </c>
      <c r="R8" s="77">
        <v>18.2</v>
      </c>
      <c r="S8" s="77">
        <v>19.322</v>
      </c>
      <c r="T8" s="77">
        <v>19</v>
      </c>
      <c r="U8" s="77">
        <v>17.82</v>
      </c>
    </row>
    <row r="9" spans="1:21" ht="15">
      <c r="A9" s="33" t="s">
        <v>236</v>
      </c>
      <c r="B9" s="42">
        <v>7.4</v>
      </c>
      <c r="C9" s="42">
        <v>8.5</v>
      </c>
      <c r="D9" s="42">
        <v>9.1</v>
      </c>
      <c r="E9" s="42">
        <v>10.2</v>
      </c>
      <c r="F9" s="42">
        <v>10.6</v>
      </c>
      <c r="G9" s="42">
        <v>9.7</v>
      </c>
      <c r="H9" s="42">
        <v>9.1</v>
      </c>
      <c r="I9" s="25">
        <v>10.9</v>
      </c>
      <c r="J9" s="41">
        <v>9.5</v>
      </c>
      <c r="K9" s="41">
        <v>10.7</v>
      </c>
      <c r="L9" s="77">
        <v>9.9</v>
      </c>
      <c r="M9" s="77">
        <v>10.1</v>
      </c>
      <c r="N9" s="77">
        <v>10.2</v>
      </c>
      <c r="O9" s="77">
        <v>10.406</v>
      </c>
      <c r="P9" s="77">
        <v>10</v>
      </c>
      <c r="Q9" s="77">
        <v>9.7</v>
      </c>
      <c r="R9" s="77">
        <v>9.2</v>
      </c>
      <c r="S9" s="77">
        <v>9.844</v>
      </c>
      <c r="T9" s="77">
        <v>10.2</v>
      </c>
      <c r="U9" s="77">
        <v>9.09</v>
      </c>
    </row>
    <row r="10" spans="1:21" ht="15">
      <c r="A10" s="33" t="s">
        <v>237</v>
      </c>
      <c r="B10" s="39">
        <v>3.1</v>
      </c>
      <c r="C10" s="39">
        <v>4</v>
      </c>
      <c r="D10" s="39">
        <v>4.8</v>
      </c>
      <c r="E10" s="39">
        <v>5</v>
      </c>
      <c r="F10" s="39">
        <v>5</v>
      </c>
      <c r="G10" s="39">
        <v>5.3</v>
      </c>
      <c r="H10" s="39">
        <v>6.2</v>
      </c>
      <c r="I10" s="25">
        <v>7.6</v>
      </c>
      <c r="J10" s="41">
        <v>7.4</v>
      </c>
      <c r="K10" s="41">
        <v>7.5</v>
      </c>
      <c r="L10" s="77">
        <v>7.7</v>
      </c>
      <c r="M10" s="77">
        <v>7.4</v>
      </c>
      <c r="N10" s="77">
        <v>7.5</v>
      </c>
      <c r="O10" s="77">
        <v>7.435</v>
      </c>
      <c r="P10" s="77">
        <v>7.9</v>
      </c>
      <c r="Q10" s="77">
        <v>8</v>
      </c>
      <c r="R10" s="77">
        <v>8</v>
      </c>
      <c r="S10" s="77">
        <v>7.771</v>
      </c>
      <c r="T10" s="77">
        <v>7.5</v>
      </c>
      <c r="U10" s="77">
        <v>7.24</v>
      </c>
    </row>
    <row r="11" spans="1:21" ht="15">
      <c r="A11" s="33" t="s">
        <v>238</v>
      </c>
      <c r="B11" s="638">
        <v>0</v>
      </c>
      <c r="C11" s="39">
        <v>9.4</v>
      </c>
      <c r="D11" s="39">
        <v>12.6</v>
      </c>
      <c r="E11" s="39">
        <v>13.2</v>
      </c>
      <c r="F11" s="39">
        <v>14.2</v>
      </c>
      <c r="G11" s="39">
        <v>15.4</v>
      </c>
      <c r="H11" s="39">
        <v>16.1</v>
      </c>
      <c r="I11" s="25">
        <v>16.4</v>
      </c>
      <c r="J11" s="41">
        <v>16.3</v>
      </c>
      <c r="K11" s="41">
        <v>17.4</v>
      </c>
      <c r="L11" s="77">
        <v>19.7</v>
      </c>
      <c r="M11" s="77">
        <v>21.1</v>
      </c>
      <c r="N11" s="77">
        <v>21.2</v>
      </c>
      <c r="O11" s="77">
        <v>21.101</v>
      </c>
      <c r="P11" s="77">
        <v>21</v>
      </c>
      <c r="Q11" s="77">
        <v>20.1</v>
      </c>
      <c r="R11" s="77">
        <v>20.9</v>
      </c>
      <c r="S11" s="77">
        <v>21.084</v>
      </c>
      <c r="T11" s="77">
        <v>21.4</v>
      </c>
      <c r="U11" s="77">
        <v>21.33</v>
      </c>
    </row>
    <row r="12" spans="1:21" ht="15.75">
      <c r="A12" s="37" t="s">
        <v>141</v>
      </c>
      <c r="B12" s="645">
        <f aca="true" t="shared" si="0" ref="B12:U12">SUM(B8:B11)</f>
        <v>21.1</v>
      </c>
      <c r="C12" s="645">
        <f t="shared" si="0"/>
        <v>32.7</v>
      </c>
      <c r="D12" s="645">
        <f t="shared" si="0"/>
        <v>40.1</v>
      </c>
      <c r="E12" s="645">
        <f t="shared" si="0"/>
        <v>44.4</v>
      </c>
      <c r="F12" s="645">
        <f t="shared" si="0"/>
        <v>45.5</v>
      </c>
      <c r="G12" s="645">
        <f t="shared" si="0"/>
        <v>47.699999999999996</v>
      </c>
      <c r="H12" s="645">
        <f t="shared" si="0"/>
        <v>49.7</v>
      </c>
      <c r="I12" s="645">
        <f t="shared" si="0"/>
        <v>53.3</v>
      </c>
      <c r="J12" s="645">
        <f t="shared" si="0"/>
        <v>51.400000000000006</v>
      </c>
      <c r="K12" s="645">
        <f t="shared" si="0"/>
        <v>54.4</v>
      </c>
      <c r="L12" s="645">
        <f t="shared" si="0"/>
        <v>56.3</v>
      </c>
      <c r="M12" s="645">
        <f t="shared" si="0"/>
        <v>59.6</v>
      </c>
      <c r="N12" s="645">
        <f t="shared" si="0"/>
        <v>60.3</v>
      </c>
      <c r="O12" s="645">
        <f t="shared" si="0"/>
        <v>59.646</v>
      </c>
      <c r="P12" s="645">
        <f t="shared" si="0"/>
        <v>59.9</v>
      </c>
      <c r="Q12" s="645">
        <f t="shared" si="0"/>
        <v>58.4</v>
      </c>
      <c r="R12" s="645">
        <f t="shared" si="0"/>
        <v>56.3</v>
      </c>
      <c r="S12" s="645">
        <f t="shared" si="0"/>
        <v>58.021</v>
      </c>
      <c r="T12" s="645">
        <f t="shared" si="0"/>
        <v>58.1</v>
      </c>
      <c r="U12" s="645">
        <f t="shared" si="0"/>
        <v>55.48</v>
      </c>
    </row>
    <row r="13" spans="1:9" ht="8.25" customHeight="1">
      <c r="A13" s="450"/>
      <c r="B13" s="39"/>
      <c r="C13" s="39"/>
      <c r="D13" s="39"/>
      <c r="E13" s="39"/>
      <c r="F13" s="39"/>
      <c r="G13" s="39"/>
      <c r="H13" s="39"/>
      <c r="I13" s="5"/>
    </row>
    <row r="14" spans="1:9" ht="15" customHeight="1">
      <c r="A14" s="308" t="s">
        <v>308</v>
      </c>
      <c r="B14" s="39"/>
      <c r="C14" s="39"/>
      <c r="D14" s="39"/>
      <c r="E14" s="39"/>
      <c r="F14" s="39"/>
      <c r="G14" s="39"/>
      <c r="H14" s="39"/>
      <c r="I14" s="5"/>
    </row>
    <row r="15" spans="1:21" ht="15" customHeight="1">
      <c r="A15" s="334" t="s">
        <v>109</v>
      </c>
      <c r="B15" s="39">
        <v>1</v>
      </c>
      <c r="C15" s="39">
        <v>1.5</v>
      </c>
      <c r="D15" s="39">
        <v>1.5</v>
      </c>
      <c r="E15" s="39">
        <v>1.3</v>
      </c>
      <c r="F15" s="39">
        <v>1.1</v>
      </c>
      <c r="G15" s="39">
        <v>1.1</v>
      </c>
      <c r="H15" s="39">
        <v>1.2</v>
      </c>
      <c r="I15" s="39">
        <v>1.1</v>
      </c>
      <c r="J15" s="25">
        <v>0.9</v>
      </c>
      <c r="K15" s="25">
        <v>0.2</v>
      </c>
      <c r="L15" s="638">
        <v>0</v>
      </c>
      <c r="M15" s="638">
        <v>0</v>
      </c>
      <c r="N15" s="638">
        <v>0</v>
      </c>
      <c r="O15" s="638">
        <v>0</v>
      </c>
      <c r="P15" s="638">
        <v>0</v>
      </c>
      <c r="Q15" s="638">
        <v>0</v>
      </c>
      <c r="R15" s="638">
        <v>0</v>
      </c>
      <c r="S15" s="638">
        <v>0</v>
      </c>
      <c r="T15" s="638">
        <v>0</v>
      </c>
      <c r="U15" s="638">
        <v>0</v>
      </c>
    </row>
    <row r="16" spans="1:9" ht="8.25" customHeight="1">
      <c r="A16" s="450"/>
      <c r="B16" s="39"/>
      <c r="C16" s="39"/>
      <c r="D16" s="39"/>
      <c r="E16" s="39"/>
      <c r="F16" s="39"/>
      <c r="G16" s="39"/>
      <c r="H16" s="39"/>
      <c r="I16" s="5"/>
    </row>
    <row r="17" spans="1:9" ht="15.75">
      <c r="A17" s="37" t="s">
        <v>239</v>
      </c>
      <c r="B17" s="39"/>
      <c r="C17" s="39"/>
      <c r="D17" s="39"/>
      <c r="E17" s="39"/>
      <c r="F17" s="39"/>
      <c r="G17" s="39"/>
      <c r="H17" s="39"/>
      <c r="I17" s="5"/>
    </row>
    <row r="18" spans="1:21" ht="15">
      <c r="A18" s="33" t="s">
        <v>263</v>
      </c>
      <c r="B18" s="39">
        <v>346.6</v>
      </c>
      <c r="C18" s="39">
        <v>358.1</v>
      </c>
      <c r="D18" s="39">
        <v>387.5</v>
      </c>
      <c r="E18" s="39">
        <v>415</v>
      </c>
      <c r="F18" s="39">
        <v>422.2</v>
      </c>
      <c r="G18" s="39">
        <v>408.8</v>
      </c>
      <c r="H18" s="39">
        <v>419.5</v>
      </c>
      <c r="I18" s="25">
        <v>438.1</v>
      </c>
      <c r="J18" s="25">
        <v>451.1</v>
      </c>
      <c r="K18" s="25">
        <v>482.1</v>
      </c>
      <c r="L18" s="75">
        <v>504.1</v>
      </c>
      <c r="M18" s="142">
        <v>549.164</v>
      </c>
      <c r="N18" s="142">
        <v>553.4</v>
      </c>
      <c r="O18" s="142">
        <v>571.5</v>
      </c>
      <c r="P18" s="142">
        <v>577.8</v>
      </c>
      <c r="Q18" s="142">
        <v>602</v>
      </c>
      <c r="R18" s="142">
        <v>588</v>
      </c>
      <c r="S18" s="142">
        <v>584</v>
      </c>
      <c r="T18" s="142">
        <v>564.2</v>
      </c>
      <c r="U18" s="25">
        <v>577.9</v>
      </c>
    </row>
    <row r="19" spans="1:9" ht="8.25" customHeight="1">
      <c r="A19" s="33"/>
      <c r="B19" s="39"/>
      <c r="C19" s="39"/>
      <c r="D19" s="39"/>
      <c r="E19" s="39"/>
      <c r="F19" s="39"/>
      <c r="G19" s="39"/>
      <c r="H19" s="39"/>
      <c r="I19"/>
    </row>
    <row r="20" spans="1:9" ht="15.75">
      <c r="A20" s="37" t="s">
        <v>466</v>
      </c>
      <c r="B20" s="39"/>
      <c r="C20" s="39"/>
      <c r="D20" s="39"/>
      <c r="E20" s="39"/>
      <c r="F20" s="39"/>
      <c r="G20" s="39"/>
      <c r="H20"/>
      <c r="I20"/>
    </row>
    <row r="21" spans="1:21" ht="15">
      <c r="A21" s="33" t="s">
        <v>279</v>
      </c>
      <c r="B21" s="638">
        <v>0</v>
      </c>
      <c r="C21" s="638">
        <v>0</v>
      </c>
      <c r="D21" s="638">
        <v>0</v>
      </c>
      <c r="E21" s="638">
        <v>0</v>
      </c>
      <c r="F21" s="39">
        <v>18.6</v>
      </c>
      <c r="G21" s="39">
        <v>17.6</v>
      </c>
      <c r="H21" s="39">
        <v>20.1</v>
      </c>
      <c r="I21" s="39">
        <v>19.3</v>
      </c>
      <c r="J21" s="39">
        <v>19.7</v>
      </c>
      <c r="K21" s="39">
        <v>20.894</v>
      </c>
      <c r="L21" s="73">
        <v>21.2</v>
      </c>
      <c r="M21" s="73">
        <v>21.032</v>
      </c>
      <c r="N21" s="73">
        <v>21.938</v>
      </c>
      <c r="O21" s="73">
        <v>23.8</v>
      </c>
      <c r="P21" s="73">
        <v>23.9</v>
      </c>
      <c r="Q21" s="73">
        <v>24</v>
      </c>
      <c r="R21" s="73">
        <v>23.9</v>
      </c>
      <c r="S21" s="73">
        <v>26.5</v>
      </c>
      <c r="T21" s="73">
        <v>23.9</v>
      </c>
      <c r="U21" s="73">
        <v>22.8</v>
      </c>
    </row>
    <row r="22" spans="1:21" ht="18">
      <c r="A22" s="33" t="s">
        <v>110</v>
      </c>
      <c r="B22" s="638">
        <v>0</v>
      </c>
      <c r="C22" s="638">
        <v>0</v>
      </c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39">
        <v>25</v>
      </c>
      <c r="K22" s="39">
        <v>21</v>
      </c>
      <c r="L22" s="73">
        <v>9.2</v>
      </c>
      <c r="M22" s="73">
        <v>14.337</v>
      </c>
      <c r="N22" s="73">
        <v>8.781</v>
      </c>
      <c r="O22" s="73">
        <v>16.3</v>
      </c>
      <c r="P22" s="73">
        <v>10.9</v>
      </c>
      <c r="Q22" s="73">
        <v>7.6</v>
      </c>
      <c r="R22" s="73">
        <v>7.7</v>
      </c>
      <c r="S22" s="73">
        <v>7.2</v>
      </c>
      <c r="T22" s="73">
        <v>7</v>
      </c>
      <c r="U22" s="73">
        <v>7.1</v>
      </c>
    </row>
    <row r="23" spans="1:21" ht="15.75">
      <c r="A23" s="37" t="s">
        <v>141</v>
      </c>
      <c r="B23" s="645">
        <f aca="true" t="shared" si="1" ref="B23:U23">SUM(B21:B22)</f>
        <v>0</v>
      </c>
      <c r="C23" s="645">
        <f t="shared" si="1"/>
        <v>0</v>
      </c>
      <c r="D23" s="645">
        <f t="shared" si="1"/>
        <v>0</v>
      </c>
      <c r="E23" s="645">
        <f t="shared" si="1"/>
        <v>0</v>
      </c>
      <c r="F23" s="645">
        <f t="shared" si="1"/>
        <v>18.6</v>
      </c>
      <c r="G23" s="645">
        <f t="shared" si="1"/>
        <v>17.6</v>
      </c>
      <c r="H23" s="645">
        <f t="shared" si="1"/>
        <v>20.1</v>
      </c>
      <c r="I23" s="645">
        <f t="shared" si="1"/>
        <v>19.3</v>
      </c>
      <c r="J23" s="645">
        <f t="shared" si="1"/>
        <v>44.7</v>
      </c>
      <c r="K23" s="645">
        <f t="shared" si="1"/>
        <v>41.894</v>
      </c>
      <c r="L23" s="645">
        <f t="shared" si="1"/>
        <v>30.4</v>
      </c>
      <c r="M23" s="645">
        <f t="shared" si="1"/>
        <v>35.369</v>
      </c>
      <c r="N23" s="645">
        <f t="shared" si="1"/>
        <v>30.719</v>
      </c>
      <c r="O23" s="645">
        <f t="shared" si="1"/>
        <v>40.1</v>
      </c>
      <c r="P23" s="645">
        <f t="shared" si="1"/>
        <v>34.8</v>
      </c>
      <c r="Q23" s="645">
        <f t="shared" si="1"/>
        <v>31.6</v>
      </c>
      <c r="R23" s="645">
        <f t="shared" si="1"/>
        <v>31.599999999999998</v>
      </c>
      <c r="S23" s="645">
        <f t="shared" si="1"/>
        <v>33.7</v>
      </c>
      <c r="T23" s="645">
        <f t="shared" si="1"/>
        <v>30.9</v>
      </c>
      <c r="U23" s="645">
        <f t="shared" si="1"/>
        <v>29.9</v>
      </c>
    </row>
    <row r="24" spans="1:9" ht="8.25" customHeight="1">
      <c r="A24" s="33"/>
      <c r="B24" s="39"/>
      <c r="C24" s="39"/>
      <c r="D24" s="39"/>
      <c r="E24" s="39"/>
      <c r="F24" s="39"/>
      <c r="G24" s="39"/>
      <c r="H24" s="39"/>
      <c r="I24"/>
    </row>
    <row r="25" spans="1:9" ht="15.75">
      <c r="A25" s="37" t="s">
        <v>240</v>
      </c>
      <c r="B25" s="40"/>
      <c r="C25" s="40"/>
      <c r="D25" s="40"/>
      <c r="E25" s="40"/>
      <c r="F25" s="40"/>
      <c r="G25" s="40"/>
      <c r="H25" s="40"/>
      <c r="I25"/>
    </row>
    <row r="26" spans="1:9" ht="15">
      <c r="A26" s="33" t="s">
        <v>310</v>
      </c>
      <c r="B26"/>
      <c r="C26"/>
      <c r="D26"/>
      <c r="E26"/>
      <c r="F26"/>
      <c r="G26"/>
      <c r="H26"/>
      <c r="I26"/>
    </row>
    <row r="27" spans="1:21" ht="15">
      <c r="A27" s="33" t="s">
        <v>313</v>
      </c>
      <c r="B27" s="39">
        <v>179</v>
      </c>
      <c r="C27" s="39">
        <v>198.8</v>
      </c>
      <c r="D27" s="39">
        <v>199.2</v>
      </c>
      <c r="E27" s="39">
        <v>211.9</v>
      </c>
      <c r="F27" s="39">
        <v>223.1</v>
      </c>
      <c r="G27" s="39">
        <v>222.6</v>
      </c>
      <c r="H27" s="39">
        <v>219.5</v>
      </c>
      <c r="I27" s="25">
        <v>215.5</v>
      </c>
      <c r="J27" s="25">
        <v>211.2</v>
      </c>
      <c r="K27" s="25">
        <v>212.8</v>
      </c>
      <c r="L27" s="142">
        <v>235.404</v>
      </c>
      <c r="M27" s="142">
        <v>247.5</v>
      </c>
      <c r="N27" s="151">
        <v>254.932</v>
      </c>
      <c r="O27" s="151">
        <v>247.6</v>
      </c>
      <c r="P27" s="151">
        <v>234.2</v>
      </c>
      <c r="Q27" s="151">
        <v>252.4</v>
      </c>
      <c r="R27" s="386">
        <v>245</v>
      </c>
      <c r="S27" s="386">
        <v>249.4</v>
      </c>
      <c r="T27" s="386">
        <v>221.4</v>
      </c>
      <c r="U27" s="386">
        <v>241.95</v>
      </c>
    </row>
    <row r="28" spans="1:9" ht="8.25" customHeight="1">
      <c r="A28" s="33"/>
      <c r="B28" s="39"/>
      <c r="C28" s="39"/>
      <c r="D28" s="39"/>
      <c r="E28" s="39"/>
      <c r="F28" s="39"/>
      <c r="G28" s="39"/>
      <c r="H28" s="39"/>
      <c r="I28"/>
    </row>
    <row r="29" spans="1:9" ht="15" customHeight="1">
      <c r="A29" s="2" t="s">
        <v>398</v>
      </c>
      <c r="B29" s="39"/>
      <c r="C29" s="39"/>
      <c r="D29" s="39"/>
      <c r="E29" s="39"/>
      <c r="F29" s="39"/>
      <c r="G29" s="39"/>
      <c r="H29" s="39"/>
      <c r="I29"/>
    </row>
    <row r="30" spans="1:21" ht="15" customHeight="1">
      <c r="A30" s="25" t="s">
        <v>302</v>
      </c>
      <c r="B30" s="638">
        <v>0</v>
      </c>
      <c r="C30" s="638">
        <v>0</v>
      </c>
      <c r="D30" s="638">
        <v>0</v>
      </c>
      <c r="E30" s="638">
        <v>0</v>
      </c>
      <c r="F30" s="638">
        <v>0</v>
      </c>
      <c r="G30" s="638">
        <v>0</v>
      </c>
      <c r="H30" s="73">
        <v>4.446</v>
      </c>
      <c r="I30" s="73">
        <v>3.92</v>
      </c>
      <c r="J30" s="36">
        <v>3.757</v>
      </c>
      <c r="K30" s="36">
        <v>3.396</v>
      </c>
      <c r="L30" s="151">
        <v>3.7</v>
      </c>
      <c r="M30" s="151">
        <v>3.8</v>
      </c>
      <c r="N30" s="151">
        <v>3.273</v>
      </c>
      <c r="O30" s="638">
        <v>0</v>
      </c>
      <c r="P30" s="638">
        <v>0</v>
      </c>
      <c r="Q30" s="638">
        <v>0</v>
      </c>
      <c r="R30" s="638">
        <v>0</v>
      </c>
      <c r="S30" s="638">
        <v>0</v>
      </c>
      <c r="T30" s="638">
        <v>0</v>
      </c>
      <c r="U30" s="638">
        <v>0</v>
      </c>
    </row>
    <row r="31" spans="2:21" ht="15" customHeight="1">
      <c r="B31" s="39"/>
      <c r="C31" s="39"/>
      <c r="D31" s="39"/>
      <c r="E31" s="39"/>
      <c r="F31" s="39"/>
      <c r="G31" s="39"/>
      <c r="H31" s="39"/>
      <c r="I31"/>
      <c r="J31" s="36"/>
      <c r="K31" s="36"/>
      <c r="L31" s="151"/>
      <c r="M31" s="151"/>
      <c r="N31" s="151"/>
      <c r="O31" s="151"/>
      <c r="P31" s="151"/>
      <c r="Q31" s="151"/>
      <c r="R31" s="151"/>
      <c r="S31" s="151"/>
      <c r="T31" s="151"/>
      <c r="U31" s="151"/>
    </row>
    <row r="32" spans="1:9" ht="18.75">
      <c r="A32" s="37" t="s">
        <v>111</v>
      </c>
      <c r="B32" s="39"/>
      <c r="C32" s="39"/>
      <c r="D32" s="39"/>
      <c r="E32" s="39"/>
      <c r="F32" s="39"/>
      <c r="G32" s="39"/>
      <c r="H32" s="39"/>
      <c r="I32"/>
    </row>
    <row r="33" spans="1:21" ht="15">
      <c r="A33" s="25" t="s">
        <v>315</v>
      </c>
      <c r="B33" s="638">
        <v>0</v>
      </c>
      <c r="C33" s="638">
        <v>0</v>
      </c>
      <c r="D33" s="638">
        <v>0</v>
      </c>
      <c r="E33" s="41">
        <v>36.757</v>
      </c>
      <c r="F33" s="41">
        <v>56.358</v>
      </c>
      <c r="G33" s="41">
        <v>57.513</v>
      </c>
      <c r="H33" s="41">
        <v>52.331</v>
      </c>
      <c r="I33" s="25">
        <v>49.1</v>
      </c>
      <c r="J33" s="130">
        <v>55.93</v>
      </c>
      <c r="K33" s="130">
        <v>58.5</v>
      </c>
      <c r="L33" s="154">
        <v>61.9</v>
      </c>
      <c r="M33" s="154">
        <v>62.6</v>
      </c>
      <c r="N33" s="154">
        <v>68.4</v>
      </c>
      <c r="O33" s="154">
        <v>63.2</v>
      </c>
      <c r="P33" s="154">
        <v>73.208</v>
      </c>
      <c r="Q33" s="154">
        <v>76.363</v>
      </c>
      <c r="R33" s="154">
        <v>73.335</v>
      </c>
      <c r="S33" s="154">
        <v>74.3</v>
      </c>
      <c r="T33" s="154">
        <v>72.2</v>
      </c>
      <c r="U33" s="154">
        <v>78</v>
      </c>
    </row>
    <row r="34" spans="1:21" ht="15">
      <c r="A34" s="25" t="s">
        <v>316</v>
      </c>
      <c r="B34" s="638">
        <v>0</v>
      </c>
      <c r="C34" s="638">
        <v>0</v>
      </c>
      <c r="D34" s="638">
        <v>0</v>
      </c>
      <c r="E34" s="41">
        <v>80.711</v>
      </c>
      <c r="F34" s="41">
        <v>94.73</v>
      </c>
      <c r="G34" s="41">
        <v>101.901</v>
      </c>
      <c r="H34" s="41">
        <v>90.472</v>
      </c>
      <c r="I34" s="25">
        <v>88.4</v>
      </c>
      <c r="J34" s="130">
        <v>94.288</v>
      </c>
      <c r="K34" s="130">
        <v>99.4</v>
      </c>
      <c r="L34" s="154">
        <v>106.5</v>
      </c>
      <c r="M34" s="154">
        <v>104.1</v>
      </c>
      <c r="N34" s="154">
        <v>107.7</v>
      </c>
      <c r="O34" s="154">
        <v>112.9</v>
      </c>
      <c r="P34" s="154">
        <v>115.386</v>
      </c>
      <c r="Q34" s="154">
        <v>119.643</v>
      </c>
      <c r="R34" s="154">
        <v>116.706</v>
      </c>
      <c r="S34" s="154">
        <v>123.8</v>
      </c>
      <c r="T34" s="154">
        <v>129.2</v>
      </c>
      <c r="U34" s="154">
        <v>134</v>
      </c>
    </row>
    <row r="35" spans="1:21" ht="18">
      <c r="A35" s="25" t="s">
        <v>50</v>
      </c>
      <c r="B35" s="638">
        <v>0</v>
      </c>
      <c r="C35" s="638">
        <v>0</v>
      </c>
      <c r="D35" s="638">
        <v>0</v>
      </c>
      <c r="E35" s="41">
        <v>31.332</v>
      </c>
      <c r="F35" s="41">
        <v>45.403</v>
      </c>
      <c r="G35" s="41">
        <v>53.216</v>
      </c>
      <c r="H35" s="41">
        <v>46.812</v>
      </c>
      <c r="I35" s="25">
        <v>45.4</v>
      </c>
      <c r="J35" s="130">
        <v>48.573</v>
      </c>
      <c r="K35" s="130">
        <v>52.3</v>
      </c>
      <c r="L35" s="154">
        <v>58.3</v>
      </c>
      <c r="M35" s="154">
        <v>53</v>
      </c>
      <c r="N35" s="154">
        <v>59.4</v>
      </c>
      <c r="O35" s="154">
        <v>50.7</v>
      </c>
      <c r="P35" s="154">
        <v>56.353</v>
      </c>
      <c r="Q35" s="154">
        <v>65.837</v>
      </c>
      <c r="R35" s="638">
        <v>0</v>
      </c>
      <c r="S35" s="638">
        <v>0</v>
      </c>
      <c r="T35" s="638">
        <v>0</v>
      </c>
      <c r="U35" s="638">
        <v>0</v>
      </c>
    </row>
    <row r="36" spans="1:21" ht="15">
      <c r="A36" s="25" t="s">
        <v>264</v>
      </c>
      <c r="B36" s="638">
        <v>0</v>
      </c>
      <c r="C36" s="638">
        <v>0</v>
      </c>
      <c r="D36" s="638">
        <v>0</v>
      </c>
      <c r="E36" s="41">
        <v>43.635</v>
      </c>
      <c r="F36" s="41">
        <v>59.751</v>
      </c>
      <c r="G36" s="41">
        <v>60.524</v>
      </c>
      <c r="H36" s="41">
        <v>53.286</v>
      </c>
      <c r="I36" s="25">
        <v>58.6</v>
      </c>
      <c r="J36" s="130">
        <v>55.065</v>
      </c>
      <c r="K36" s="130">
        <v>54.3</v>
      </c>
      <c r="L36" s="154">
        <v>65</v>
      </c>
      <c r="M36" s="154">
        <v>64.9</v>
      </c>
      <c r="N36" s="154">
        <v>65.8</v>
      </c>
      <c r="O36" s="154">
        <v>62.5</v>
      </c>
      <c r="P36" s="154">
        <v>65.516</v>
      </c>
      <c r="Q36" s="154">
        <v>69.623</v>
      </c>
      <c r="R36" s="154">
        <v>67.861</v>
      </c>
      <c r="S36" s="154">
        <v>67.5</v>
      </c>
      <c r="T36" s="154">
        <v>66.4</v>
      </c>
      <c r="U36" s="154">
        <v>70</v>
      </c>
    </row>
    <row r="37" spans="1:23" ht="18">
      <c r="A37" s="25" t="s">
        <v>51</v>
      </c>
      <c r="B37" s="638">
        <v>0</v>
      </c>
      <c r="C37" s="638">
        <v>0</v>
      </c>
      <c r="D37" s="638">
        <v>0</v>
      </c>
      <c r="E37" s="39">
        <v>5.6</v>
      </c>
      <c r="F37" s="39">
        <v>7.5</v>
      </c>
      <c r="G37" s="39">
        <v>9</v>
      </c>
      <c r="H37" s="39">
        <v>8.1</v>
      </c>
      <c r="I37" s="39">
        <v>8.3</v>
      </c>
      <c r="J37" s="130">
        <v>8.686</v>
      </c>
      <c r="K37" s="130">
        <v>8.7</v>
      </c>
      <c r="L37" s="154">
        <v>10.2</v>
      </c>
      <c r="M37" s="154">
        <v>8.8</v>
      </c>
      <c r="N37" s="154">
        <v>11.2</v>
      </c>
      <c r="O37" s="154">
        <v>8.1</v>
      </c>
      <c r="P37" s="154">
        <v>9.899</v>
      </c>
      <c r="Q37" s="154">
        <v>11.418</v>
      </c>
      <c r="R37" s="638">
        <v>0</v>
      </c>
      <c r="S37" s="638">
        <v>0</v>
      </c>
      <c r="T37" s="638">
        <v>0</v>
      </c>
      <c r="U37" s="638">
        <v>0</v>
      </c>
      <c r="V37" s="41"/>
      <c r="W37" s="41"/>
    </row>
    <row r="38" spans="1:23" ht="15.75">
      <c r="A38" s="37" t="s">
        <v>141</v>
      </c>
      <c r="B38" s="645">
        <f aca="true" t="shared" si="2" ref="B38:U38">SUM(B33:B37)</f>
        <v>0</v>
      </c>
      <c r="C38" s="645">
        <f t="shared" si="2"/>
        <v>0</v>
      </c>
      <c r="D38" s="645">
        <f t="shared" si="2"/>
        <v>0</v>
      </c>
      <c r="E38" s="645">
        <f t="shared" si="2"/>
        <v>198.03499999999997</v>
      </c>
      <c r="F38" s="645">
        <f t="shared" si="2"/>
        <v>263.74199999999996</v>
      </c>
      <c r="G38" s="645">
        <f t="shared" si="2"/>
        <v>282.154</v>
      </c>
      <c r="H38" s="645">
        <f t="shared" si="2"/>
        <v>251.001</v>
      </c>
      <c r="I38" s="645">
        <f t="shared" si="2"/>
        <v>249.8</v>
      </c>
      <c r="J38" s="645">
        <f t="shared" si="2"/>
        <v>262.542</v>
      </c>
      <c r="K38" s="645">
        <f t="shared" si="2"/>
        <v>273.2</v>
      </c>
      <c r="L38" s="645">
        <f t="shared" si="2"/>
        <v>301.9</v>
      </c>
      <c r="M38" s="645">
        <f t="shared" si="2"/>
        <v>293.40000000000003</v>
      </c>
      <c r="N38" s="645">
        <f t="shared" si="2"/>
        <v>312.5</v>
      </c>
      <c r="O38" s="645">
        <f t="shared" si="2"/>
        <v>297.40000000000003</v>
      </c>
      <c r="P38" s="645">
        <f t="shared" si="2"/>
        <v>320.362</v>
      </c>
      <c r="Q38" s="645">
        <f t="shared" si="2"/>
        <v>342.884</v>
      </c>
      <c r="R38" s="645">
        <f t="shared" si="2"/>
        <v>257.902</v>
      </c>
      <c r="S38" s="645">
        <f t="shared" si="2"/>
        <v>265.6</v>
      </c>
      <c r="T38" s="645">
        <f t="shared" si="2"/>
        <v>267.79999999999995</v>
      </c>
      <c r="U38" s="645">
        <f t="shared" si="2"/>
        <v>282</v>
      </c>
      <c r="V38" s="41"/>
      <c r="W38" s="41"/>
    </row>
    <row r="39" spans="2:21" ht="15">
      <c r="B39" s="39"/>
      <c r="C39" s="39"/>
      <c r="D39" s="39"/>
      <c r="E39" s="41"/>
      <c r="F39" s="41"/>
      <c r="G39" s="41"/>
      <c r="H39" s="41"/>
      <c r="J39" s="41"/>
      <c r="L39" s="41"/>
      <c r="N39" s="41"/>
      <c r="O39" s="41"/>
      <c r="P39" s="41"/>
      <c r="Q39" s="41"/>
      <c r="R39" s="390"/>
      <c r="S39" s="390"/>
      <c r="T39" s="390"/>
      <c r="U39" s="390"/>
    </row>
    <row r="40" spans="1:10" ht="18.75">
      <c r="A40" s="2" t="s">
        <v>112</v>
      </c>
      <c r="B40" s="39"/>
      <c r="C40" s="39"/>
      <c r="D40" s="39"/>
      <c r="E40" s="41"/>
      <c r="F40" s="41"/>
      <c r="G40" s="41"/>
      <c r="H40" s="41"/>
      <c r="J40" s="41"/>
    </row>
    <row r="41" spans="1:21" ht="18">
      <c r="A41" s="25" t="s">
        <v>113</v>
      </c>
      <c r="B41" s="638">
        <v>0</v>
      </c>
      <c r="C41" s="638">
        <v>0</v>
      </c>
      <c r="D41" s="638">
        <v>0</v>
      </c>
      <c r="E41" s="638">
        <v>0</v>
      </c>
      <c r="F41" s="41">
        <v>3.4</v>
      </c>
      <c r="G41" s="41">
        <v>3.3</v>
      </c>
      <c r="H41" s="41">
        <v>3.2</v>
      </c>
      <c r="I41" s="25">
        <v>3.2</v>
      </c>
      <c r="J41" s="25">
        <v>3.1</v>
      </c>
      <c r="K41" s="25">
        <v>2.9</v>
      </c>
      <c r="L41" s="75">
        <v>3.6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</row>
    <row r="42" spans="1:21" ht="18">
      <c r="A42" s="25" t="s">
        <v>114</v>
      </c>
      <c r="B42" s="638">
        <v>0</v>
      </c>
      <c r="C42" s="638">
        <v>0</v>
      </c>
      <c r="D42" s="638">
        <v>0</v>
      </c>
      <c r="E42" s="638">
        <v>0</v>
      </c>
      <c r="F42" s="74" t="s">
        <v>152</v>
      </c>
      <c r="G42" s="74" t="s">
        <v>152</v>
      </c>
      <c r="H42" s="74" t="s">
        <v>152</v>
      </c>
      <c r="I42" s="74" t="s">
        <v>152</v>
      </c>
      <c r="J42" s="74" t="s">
        <v>152</v>
      </c>
      <c r="K42" s="74" t="s">
        <v>152</v>
      </c>
      <c r="L42" s="74" t="s">
        <v>152</v>
      </c>
      <c r="M42" s="77">
        <v>3.944</v>
      </c>
      <c r="N42" s="77">
        <v>4.937</v>
      </c>
      <c r="O42" s="77">
        <v>5.4</v>
      </c>
      <c r="P42" s="74">
        <v>5.4</v>
      </c>
      <c r="Q42" s="74">
        <v>5.4</v>
      </c>
      <c r="R42" s="74">
        <v>4.9</v>
      </c>
      <c r="S42" s="74">
        <v>5.3</v>
      </c>
      <c r="T42" s="74">
        <v>4.9</v>
      </c>
      <c r="U42" s="151">
        <v>5</v>
      </c>
    </row>
    <row r="43" spans="1:21" ht="15">
      <c r="A43" s="25" t="s">
        <v>280</v>
      </c>
      <c r="B43" s="638">
        <v>0</v>
      </c>
      <c r="C43" s="638">
        <v>0</v>
      </c>
      <c r="D43" s="638">
        <v>0</v>
      </c>
      <c r="E43" s="638">
        <v>0</v>
      </c>
      <c r="F43" s="41">
        <v>12</v>
      </c>
      <c r="G43" s="41">
        <v>11.5</v>
      </c>
      <c r="H43" s="41">
        <v>11.3</v>
      </c>
      <c r="I43" s="25">
        <v>11.5</v>
      </c>
      <c r="J43" s="25">
        <v>11.7</v>
      </c>
      <c r="K43" s="25">
        <v>11.4</v>
      </c>
      <c r="L43" s="75">
        <v>12.6</v>
      </c>
      <c r="M43" s="77">
        <v>14.45</v>
      </c>
      <c r="N43" s="77">
        <v>16.405</v>
      </c>
      <c r="O43" s="77">
        <v>17</v>
      </c>
      <c r="P43" s="74">
        <v>16.9</v>
      </c>
      <c r="Q43" s="74">
        <v>15.7</v>
      </c>
      <c r="R43" s="74">
        <v>16.7</v>
      </c>
      <c r="S43" s="74">
        <v>16.7</v>
      </c>
      <c r="T43" s="74">
        <v>17.4</v>
      </c>
      <c r="U43" s="74">
        <v>17.2</v>
      </c>
    </row>
    <row r="44" spans="1:21" s="33" customFormat="1" ht="15">
      <c r="A44" s="33" t="s">
        <v>281</v>
      </c>
      <c r="B44" s="638">
        <v>0</v>
      </c>
      <c r="C44" s="638">
        <v>0</v>
      </c>
      <c r="D44" s="638">
        <v>0</v>
      </c>
      <c r="E44" s="638">
        <v>0</v>
      </c>
      <c r="F44" s="38">
        <v>42.3</v>
      </c>
      <c r="G44" s="38">
        <v>44.8</v>
      </c>
      <c r="H44" s="38">
        <v>45.4</v>
      </c>
      <c r="I44" s="35">
        <v>47</v>
      </c>
      <c r="J44" s="33">
        <v>47.1</v>
      </c>
      <c r="K44" s="33">
        <v>37.5</v>
      </c>
      <c r="L44" s="143">
        <v>33.6</v>
      </c>
      <c r="M44" s="77">
        <v>38.145</v>
      </c>
      <c r="N44" s="77">
        <v>40.545</v>
      </c>
      <c r="O44" s="77">
        <v>41.9</v>
      </c>
      <c r="P44" s="151">
        <v>44</v>
      </c>
      <c r="Q44" s="151">
        <v>46.2</v>
      </c>
      <c r="R44" s="151">
        <v>43.9</v>
      </c>
      <c r="S44" s="151">
        <v>43.5</v>
      </c>
      <c r="T44" s="151">
        <v>39.4</v>
      </c>
      <c r="U44" s="151">
        <v>38</v>
      </c>
    </row>
    <row r="45" spans="1:21" s="33" customFormat="1" ht="15">
      <c r="A45" s="143" t="s">
        <v>406</v>
      </c>
      <c r="B45" s="640">
        <v>0</v>
      </c>
      <c r="C45" s="640">
        <v>0</v>
      </c>
      <c r="D45" s="640">
        <v>0</v>
      </c>
      <c r="E45" s="640">
        <v>0</v>
      </c>
      <c r="F45" s="640">
        <v>0</v>
      </c>
      <c r="G45" s="640">
        <v>0</v>
      </c>
      <c r="H45" s="640">
        <v>0</v>
      </c>
      <c r="I45" s="640">
        <v>0</v>
      </c>
      <c r="J45" s="640">
        <v>0</v>
      </c>
      <c r="K45" s="640">
        <v>0</v>
      </c>
      <c r="L45" s="640">
        <v>0</v>
      </c>
      <c r="M45" s="641">
        <v>2.368</v>
      </c>
      <c r="N45" s="641">
        <v>2.592</v>
      </c>
      <c r="O45" s="641">
        <v>2.7</v>
      </c>
      <c r="P45" s="72">
        <v>2.8</v>
      </c>
      <c r="Q45" s="72">
        <v>2.4</v>
      </c>
      <c r="R45" s="72">
        <v>2.3</v>
      </c>
      <c r="S45" s="72">
        <v>2.3</v>
      </c>
      <c r="T45" s="72">
        <v>2.4</v>
      </c>
      <c r="U45" s="72">
        <v>2.4</v>
      </c>
    </row>
    <row r="46" spans="1:21" s="33" customFormat="1" ht="15.75">
      <c r="A46" s="37" t="s">
        <v>141</v>
      </c>
      <c r="B46" s="644">
        <f aca="true" t="shared" si="3" ref="B46:U46">SUM(B41:B45)</f>
        <v>0</v>
      </c>
      <c r="C46" s="644">
        <f t="shared" si="3"/>
        <v>0</v>
      </c>
      <c r="D46" s="644">
        <f t="shared" si="3"/>
        <v>0</v>
      </c>
      <c r="E46" s="644">
        <f t="shared" si="3"/>
        <v>0</v>
      </c>
      <c r="F46" s="644">
        <f t="shared" si="3"/>
        <v>57.699999999999996</v>
      </c>
      <c r="G46" s="644">
        <f t="shared" si="3"/>
        <v>59.599999999999994</v>
      </c>
      <c r="H46" s="644">
        <f t="shared" si="3"/>
        <v>59.9</v>
      </c>
      <c r="I46" s="644">
        <f t="shared" si="3"/>
        <v>61.7</v>
      </c>
      <c r="J46" s="644">
        <f t="shared" si="3"/>
        <v>61.9</v>
      </c>
      <c r="K46" s="644">
        <f t="shared" si="3"/>
        <v>51.8</v>
      </c>
      <c r="L46" s="644">
        <f t="shared" si="3"/>
        <v>49.8</v>
      </c>
      <c r="M46" s="644">
        <f t="shared" si="3"/>
        <v>58.907000000000004</v>
      </c>
      <c r="N46" s="644">
        <f t="shared" si="3"/>
        <v>64.479</v>
      </c>
      <c r="O46" s="644">
        <f t="shared" si="3"/>
        <v>67</v>
      </c>
      <c r="P46" s="644">
        <f t="shared" si="3"/>
        <v>69.1</v>
      </c>
      <c r="Q46" s="644">
        <f t="shared" si="3"/>
        <v>69.70000000000002</v>
      </c>
      <c r="R46" s="644">
        <f t="shared" si="3"/>
        <v>67.8</v>
      </c>
      <c r="S46" s="644">
        <f t="shared" si="3"/>
        <v>67.8</v>
      </c>
      <c r="T46" s="644">
        <f t="shared" si="3"/>
        <v>64.1</v>
      </c>
      <c r="U46" s="644">
        <f t="shared" si="3"/>
        <v>62.6</v>
      </c>
    </row>
    <row r="47" spans="1:21" s="33" customFormat="1" ht="8.25" customHeight="1">
      <c r="A47" s="14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1"/>
      <c r="N47" s="641"/>
      <c r="O47" s="641"/>
      <c r="P47" s="72"/>
      <c r="Q47" s="72"/>
      <c r="R47" s="72"/>
      <c r="S47" s="72"/>
      <c r="T47" s="72"/>
      <c r="U47" s="72"/>
    </row>
    <row r="48" spans="1:21" s="33" customFormat="1" ht="15.75">
      <c r="A48" s="639" t="s">
        <v>659</v>
      </c>
      <c r="B48" s="643">
        <f aca="true" t="shared" si="4" ref="B48:T48">B46+B38+B30+B27+B23+B18+B12</f>
        <v>546.7</v>
      </c>
      <c r="C48" s="643">
        <f t="shared" si="4"/>
        <v>589.6000000000001</v>
      </c>
      <c r="D48" s="643">
        <f t="shared" si="4"/>
        <v>626.8000000000001</v>
      </c>
      <c r="E48" s="643">
        <f t="shared" si="4"/>
        <v>869.3349999999999</v>
      </c>
      <c r="F48" s="643">
        <f t="shared" si="4"/>
        <v>1030.8419999999999</v>
      </c>
      <c r="G48" s="643">
        <f t="shared" si="4"/>
        <v>1038.4540000000002</v>
      </c>
      <c r="H48" s="643">
        <f t="shared" si="4"/>
        <v>1024.147</v>
      </c>
      <c r="I48" s="643">
        <f t="shared" si="4"/>
        <v>1041.6200000000001</v>
      </c>
      <c r="J48" s="643">
        <f t="shared" si="4"/>
        <v>1086.5990000000002</v>
      </c>
      <c r="K48" s="643">
        <f t="shared" si="4"/>
        <v>1119.5900000000001</v>
      </c>
      <c r="L48" s="643">
        <f t="shared" si="4"/>
        <v>1181.604</v>
      </c>
      <c r="M48" s="643">
        <f t="shared" si="4"/>
        <v>1247.7399999999998</v>
      </c>
      <c r="N48" s="643">
        <f t="shared" si="4"/>
        <v>1279.6029999999998</v>
      </c>
      <c r="O48" s="643">
        <f t="shared" si="4"/>
        <v>1283.2459999999999</v>
      </c>
      <c r="P48" s="643">
        <f t="shared" si="4"/>
        <v>1296.162</v>
      </c>
      <c r="Q48" s="643">
        <f t="shared" si="4"/>
        <v>1356.9840000000002</v>
      </c>
      <c r="R48" s="643">
        <f t="shared" si="4"/>
        <v>1246.602</v>
      </c>
      <c r="S48" s="643">
        <f t="shared" si="4"/>
        <v>1258.521</v>
      </c>
      <c r="T48" s="643">
        <f t="shared" si="4"/>
        <v>1206.5</v>
      </c>
      <c r="U48" s="643">
        <f>U46+U38+U27+U23+U18+U12</f>
        <v>1249.83</v>
      </c>
    </row>
    <row r="49" spans="1:15" s="5" customFormat="1" ht="19.5" customHeight="1">
      <c r="A49" s="5" t="s">
        <v>601</v>
      </c>
      <c r="J49" s="126"/>
      <c r="K49" s="126"/>
      <c r="L49" s="126"/>
      <c r="M49" s="126"/>
      <c r="N49" s="126"/>
      <c r="O49" s="11"/>
    </row>
    <row r="50" spans="1:15" s="5" customFormat="1" ht="12.75">
      <c r="A50" s="11" t="s">
        <v>464</v>
      </c>
      <c r="B50" s="11"/>
      <c r="C50" s="11"/>
      <c r="D50" s="11"/>
      <c r="E50" s="11"/>
      <c r="F50" s="11"/>
      <c r="G50" s="11"/>
      <c r="H50" s="11"/>
      <c r="I50" s="11"/>
      <c r="J50" s="126"/>
      <c r="K50" s="126"/>
      <c r="L50" s="126"/>
      <c r="M50" s="126"/>
      <c r="N50" s="126"/>
      <c r="O50" s="11"/>
    </row>
    <row r="51" spans="1:16" s="5" customFormat="1" ht="12.75">
      <c r="A51" s="5" t="s">
        <v>463</v>
      </c>
      <c r="P51" s="431"/>
    </row>
    <row r="52" s="5" customFormat="1" ht="12.75">
      <c r="A52" s="5" t="s">
        <v>742</v>
      </c>
    </row>
    <row r="53" s="5" customFormat="1" ht="12.75">
      <c r="A53" s="5" t="s">
        <v>462</v>
      </c>
    </row>
    <row r="54" s="5" customFormat="1" ht="12.75">
      <c r="A54" s="5" t="s">
        <v>515</v>
      </c>
    </row>
    <row r="55" s="5" customFormat="1" ht="12.75">
      <c r="A55" s="5" t="s">
        <v>461</v>
      </c>
    </row>
    <row r="56" s="5" customFormat="1" ht="12.75">
      <c r="A56" s="5" t="s">
        <v>394</v>
      </c>
    </row>
    <row r="57" s="5" customFormat="1" ht="12.75">
      <c r="A57" s="5" t="s">
        <v>514</v>
      </c>
    </row>
    <row r="58" s="5" customFormat="1" ht="12.75">
      <c r="A58" s="5" t="s">
        <v>419</v>
      </c>
    </row>
    <row r="59" s="5" customFormat="1" ht="12.75">
      <c r="A59" s="5" t="s">
        <v>513</v>
      </c>
    </row>
    <row r="60" s="5" customFormat="1" ht="12.75">
      <c r="A60" s="5" t="s">
        <v>470</v>
      </c>
    </row>
    <row r="61" s="5" customFormat="1" ht="12.75">
      <c r="A61" s="5" t="s">
        <v>512</v>
      </c>
    </row>
    <row r="62" s="5" customFormat="1" ht="12.75">
      <c r="A62" s="5" t="s">
        <v>511</v>
      </c>
    </row>
    <row r="63" spans="1:9" ht="15">
      <c r="A63" s="544" t="s">
        <v>55</v>
      </c>
      <c r="B63" s="544"/>
      <c r="C63" s="544"/>
      <c r="D63" s="544"/>
      <c r="E63" s="544"/>
      <c r="F63" s="544"/>
      <c r="G63" s="544"/>
      <c r="H63" s="544"/>
      <c r="I63" s="544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59" r:id="rId1"/>
  <headerFooter alignWithMargins="0">
    <oddHeader>&amp;R&amp;"Arial,Bold"&amp;14WATER TRANSPORT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2.00390625" style="44" customWidth="1"/>
    <col min="2" max="11" width="8.57421875" style="44" hidden="1" customWidth="1"/>
    <col min="12" max="12" width="10.28125" style="44" hidden="1" customWidth="1"/>
    <col min="13" max="13" width="10.421875" style="44" customWidth="1"/>
    <col min="14" max="14" width="10.28125" style="44" customWidth="1"/>
    <col min="15" max="15" width="10.57421875" style="44" customWidth="1"/>
    <col min="16" max="16" width="10.421875" style="44" customWidth="1"/>
    <col min="17" max="17" width="10.28125" style="44" customWidth="1"/>
    <col min="18" max="18" width="10.7109375" style="44" customWidth="1"/>
    <col min="19" max="20" width="10.57421875" style="62" customWidth="1"/>
    <col min="21" max="21" width="10.00390625" style="62" customWidth="1"/>
    <col min="22" max="22" width="10.00390625" style="44" customWidth="1"/>
    <col min="23" max="16384" width="9.140625" style="44" customWidth="1"/>
  </cols>
  <sheetData>
    <row r="1" spans="1:15" ht="16.5">
      <c r="A1" s="532" t="s">
        <v>32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64"/>
      <c r="M1" s="64"/>
      <c r="N1" s="64"/>
      <c r="O1" s="64"/>
    </row>
    <row r="2" spans="1:15" ht="18.75" customHeight="1" hidden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4" customHeight="1">
      <c r="A3" s="64" t="s">
        <v>613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23" ht="21" customHeight="1">
      <c r="A5" s="254"/>
      <c r="B5" s="255">
        <v>1990</v>
      </c>
      <c r="C5" s="256">
        <v>1991</v>
      </c>
      <c r="D5" s="255">
        <v>1992</v>
      </c>
      <c r="E5" s="256">
        <v>1993</v>
      </c>
      <c r="F5" s="255">
        <v>1994</v>
      </c>
      <c r="G5" s="256">
        <v>1995</v>
      </c>
      <c r="H5" s="255">
        <v>1996</v>
      </c>
      <c r="I5" s="256">
        <v>1997</v>
      </c>
      <c r="J5" s="255">
        <v>1998</v>
      </c>
      <c r="K5" s="256">
        <v>1999</v>
      </c>
      <c r="L5" s="255">
        <v>2000</v>
      </c>
      <c r="M5" s="256">
        <v>2001</v>
      </c>
      <c r="N5" s="256">
        <v>2002</v>
      </c>
      <c r="O5" s="256">
        <v>2003</v>
      </c>
      <c r="P5" s="256">
        <v>2004</v>
      </c>
      <c r="Q5" s="256">
        <v>2005</v>
      </c>
      <c r="R5" s="256">
        <v>2006</v>
      </c>
      <c r="S5" s="256">
        <v>2007</v>
      </c>
      <c r="T5" s="256">
        <v>2008</v>
      </c>
      <c r="U5" s="256">
        <v>2009</v>
      </c>
      <c r="V5" s="629">
        <v>2010</v>
      </c>
      <c r="W5" s="629">
        <v>2011</v>
      </c>
    </row>
    <row r="6" spans="1:23" ht="15.75">
      <c r="A6" s="248" t="s">
        <v>614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M6" s="249"/>
      <c r="N6" s="250"/>
      <c r="O6" s="250"/>
      <c r="P6" s="62"/>
      <c r="Q6" s="62"/>
      <c r="R6" s="250"/>
      <c r="S6" s="146"/>
      <c r="T6" s="146"/>
      <c r="U6" s="146"/>
      <c r="V6" s="146"/>
      <c r="W6" s="146" t="s">
        <v>254</v>
      </c>
    </row>
    <row r="7" spans="1:21" ht="6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N7" s="62"/>
      <c r="O7" s="62"/>
      <c r="P7" s="62"/>
      <c r="S7" s="44"/>
      <c r="T7" s="44"/>
      <c r="U7" s="44"/>
    </row>
    <row r="8" spans="1:21" ht="18">
      <c r="A8" s="44" t="s">
        <v>615</v>
      </c>
      <c r="N8" s="62"/>
      <c r="O8" s="62"/>
      <c r="P8" s="62"/>
      <c r="S8" s="44"/>
      <c r="T8" s="44"/>
      <c r="U8" s="44"/>
    </row>
    <row r="9" spans="1:23" ht="15">
      <c r="A9" s="44" t="s">
        <v>241</v>
      </c>
      <c r="B9" s="562">
        <v>18.9</v>
      </c>
      <c r="C9" s="562">
        <v>19.6</v>
      </c>
      <c r="D9" s="562">
        <v>19.7</v>
      </c>
      <c r="E9" s="562">
        <v>19.5</v>
      </c>
      <c r="F9" s="562">
        <v>22.9</v>
      </c>
      <c r="G9" s="562">
        <v>26.3</v>
      </c>
      <c r="H9" s="562">
        <v>31.3</v>
      </c>
      <c r="I9" s="563">
        <v>29.3</v>
      </c>
      <c r="J9" s="108">
        <v>31.9</v>
      </c>
      <c r="K9" s="574">
        <v>27.8</v>
      </c>
      <c r="L9" s="141">
        <v>17.66</v>
      </c>
      <c r="M9" s="141">
        <v>13.54</v>
      </c>
      <c r="N9" s="141">
        <v>12.29</v>
      </c>
      <c r="O9" s="141">
        <v>12.34</v>
      </c>
      <c r="P9" s="44">
        <v>13.68</v>
      </c>
      <c r="Q9" s="108">
        <v>16.94776799103494</v>
      </c>
      <c r="R9" s="108">
        <v>12.543928627198307</v>
      </c>
      <c r="S9" s="108">
        <v>15.06892959290888</v>
      </c>
      <c r="T9" s="108">
        <v>15.792978914750636</v>
      </c>
      <c r="U9" s="108">
        <v>13.59</v>
      </c>
      <c r="V9" s="137">
        <v>11.49</v>
      </c>
      <c r="W9" s="150">
        <v>11.12</v>
      </c>
    </row>
    <row r="10" spans="1:23" ht="15">
      <c r="A10" s="44" t="s">
        <v>242</v>
      </c>
      <c r="B10" s="562">
        <v>1</v>
      </c>
      <c r="C10" s="562">
        <v>1.2</v>
      </c>
      <c r="D10" s="562">
        <v>1</v>
      </c>
      <c r="E10" s="562">
        <v>0.3</v>
      </c>
      <c r="F10" s="562">
        <v>0.5</v>
      </c>
      <c r="G10" s="562">
        <v>1.2</v>
      </c>
      <c r="H10" s="562">
        <v>0.6</v>
      </c>
      <c r="I10" s="563">
        <v>1.3</v>
      </c>
      <c r="J10" s="108">
        <v>1.5</v>
      </c>
      <c r="K10" s="108">
        <v>1.3</v>
      </c>
      <c r="L10" s="108">
        <v>1.17</v>
      </c>
      <c r="M10" s="108">
        <v>1.5</v>
      </c>
      <c r="N10" s="108">
        <v>1.14</v>
      </c>
      <c r="O10" s="108">
        <v>1.26</v>
      </c>
      <c r="P10" s="44">
        <v>1.06</v>
      </c>
      <c r="Q10" s="108">
        <v>2.1467317774842</v>
      </c>
      <c r="R10" s="108">
        <v>1.58693599270409</v>
      </c>
      <c r="S10" s="108">
        <v>1.283831457296628</v>
      </c>
      <c r="T10" s="108">
        <v>1.39725731933575</v>
      </c>
      <c r="U10" s="108">
        <v>1.02</v>
      </c>
      <c r="V10" s="137">
        <v>1.23</v>
      </c>
      <c r="W10" s="150">
        <v>0.67</v>
      </c>
    </row>
    <row r="11" spans="1:23" ht="15">
      <c r="A11" s="44" t="s">
        <v>172</v>
      </c>
      <c r="B11" s="562">
        <v>5.4</v>
      </c>
      <c r="C11" s="562">
        <v>5.9</v>
      </c>
      <c r="D11" s="562">
        <v>5</v>
      </c>
      <c r="E11" s="562">
        <v>4.7</v>
      </c>
      <c r="F11" s="562">
        <v>4.1</v>
      </c>
      <c r="G11" s="562">
        <v>4.5</v>
      </c>
      <c r="H11" s="562">
        <v>4.2</v>
      </c>
      <c r="I11" s="563">
        <v>4</v>
      </c>
      <c r="J11" s="108">
        <v>6.3</v>
      </c>
      <c r="K11" s="108">
        <v>6.2</v>
      </c>
      <c r="L11" s="108">
        <v>5.85</v>
      </c>
      <c r="M11" s="108">
        <v>5.59</v>
      </c>
      <c r="N11" s="108">
        <v>5.77</v>
      </c>
      <c r="O11" s="108">
        <v>5.91</v>
      </c>
      <c r="P11" s="44">
        <v>5.75</v>
      </c>
      <c r="Q11" s="108">
        <v>6.436685789315531</v>
      </c>
      <c r="R11" s="108">
        <v>6.450563753069077</v>
      </c>
      <c r="S11" s="108">
        <v>6.434706080617092</v>
      </c>
      <c r="T11" s="108">
        <v>6.0901670190374695</v>
      </c>
      <c r="U11" s="108">
        <v>5.23</v>
      </c>
      <c r="V11" s="108">
        <v>5.23</v>
      </c>
      <c r="W11" s="150">
        <v>4.54</v>
      </c>
    </row>
    <row r="12" spans="1:23" ht="15">
      <c r="A12" s="44" t="s">
        <v>137</v>
      </c>
      <c r="B12" s="562">
        <v>25.2</v>
      </c>
      <c r="C12" s="562">
        <v>26.7</v>
      </c>
      <c r="D12" s="562">
        <v>25.7</v>
      </c>
      <c r="E12" s="562">
        <v>24.5</v>
      </c>
      <c r="F12" s="562">
        <v>27.5</v>
      </c>
      <c r="G12" s="562">
        <v>31.9</v>
      </c>
      <c r="H12" s="562">
        <v>36.2</v>
      </c>
      <c r="I12" s="563">
        <v>34.5</v>
      </c>
      <c r="J12" s="108">
        <v>39.7</v>
      </c>
      <c r="K12" s="574">
        <v>35.3</v>
      </c>
      <c r="L12" s="141">
        <v>24.68</v>
      </c>
      <c r="M12" s="141">
        <v>20.63</v>
      </c>
      <c r="N12" s="212">
        <f>SUM(N9:N11)</f>
        <v>19.2</v>
      </c>
      <c r="O12" s="141">
        <v>19.5</v>
      </c>
      <c r="P12" s="212">
        <f aca="true" t="shared" si="0" ref="P12:W12">SUM(P9:P11)</f>
        <v>20.490000000000002</v>
      </c>
      <c r="Q12" s="212">
        <f t="shared" si="0"/>
        <v>25.531185557834668</v>
      </c>
      <c r="R12" s="212">
        <f t="shared" si="0"/>
        <v>20.581428372971473</v>
      </c>
      <c r="S12" s="212">
        <f t="shared" si="0"/>
        <v>22.7874671308226</v>
      </c>
      <c r="T12" s="212">
        <f t="shared" si="0"/>
        <v>23.280403253123854</v>
      </c>
      <c r="U12" s="212">
        <f t="shared" si="0"/>
        <v>19.84</v>
      </c>
      <c r="V12" s="212">
        <f t="shared" si="0"/>
        <v>17.950000000000003</v>
      </c>
      <c r="W12" s="212">
        <f t="shared" si="0"/>
        <v>16.33</v>
      </c>
    </row>
    <row r="13" spans="2:22" ht="15">
      <c r="B13" s="564" t="s">
        <v>292</v>
      </c>
      <c r="C13" s="564" t="s">
        <v>292</v>
      </c>
      <c r="D13" s="564" t="s">
        <v>292</v>
      </c>
      <c r="E13" s="564" t="s">
        <v>292</v>
      </c>
      <c r="F13" s="564" t="s">
        <v>292</v>
      </c>
      <c r="G13" s="564" t="s">
        <v>292</v>
      </c>
      <c r="H13" s="564" t="s">
        <v>292</v>
      </c>
      <c r="I13" s="564" t="s">
        <v>292</v>
      </c>
      <c r="J13" s="66"/>
      <c r="K13" s="66"/>
      <c r="L13" s="66"/>
      <c r="M13" s="108"/>
      <c r="N13" s="108"/>
      <c r="O13" s="108"/>
      <c r="P13" s="108"/>
      <c r="R13" s="62"/>
      <c r="V13" s="62"/>
    </row>
    <row r="14" spans="1:22" ht="18">
      <c r="A14" s="44" t="s">
        <v>616</v>
      </c>
      <c r="B14" s="565"/>
      <c r="C14" s="565"/>
      <c r="D14" s="565"/>
      <c r="E14" s="565"/>
      <c r="F14" s="565"/>
      <c r="G14" s="566"/>
      <c r="H14" s="565"/>
      <c r="I14" s="565"/>
      <c r="J14" s="66"/>
      <c r="K14" s="66"/>
      <c r="L14" s="66"/>
      <c r="M14" s="108"/>
      <c r="N14" s="108"/>
      <c r="O14" s="108"/>
      <c r="P14" s="108"/>
      <c r="R14" s="62"/>
      <c r="V14" s="62"/>
    </row>
    <row r="15" spans="1:23" ht="15">
      <c r="A15" s="44" t="s">
        <v>243</v>
      </c>
      <c r="B15" s="562">
        <v>3.2</v>
      </c>
      <c r="C15" s="562">
        <v>2.55</v>
      </c>
      <c r="D15" s="562">
        <v>2.64</v>
      </c>
      <c r="E15" s="562">
        <v>2.51</v>
      </c>
      <c r="F15" s="562">
        <v>2.08</v>
      </c>
      <c r="G15" s="562">
        <v>1.86</v>
      </c>
      <c r="H15" s="562">
        <v>2.35</v>
      </c>
      <c r="I15" s="562">
        <v>2.53</v>
      </c>
      <c r="J15" s="108">
        <v>2.56</v>
      </c>
      <c r="K15" s="108">
        <v>2.58</v>
      </c>
      <c r="L15" s="108">
        <v>1.54</v>
      </c>
      <c r="M15" s="108">
        <v>1.9</v>
      </c>
      <c r="N15" s="108">
        <v>1.81</v>
      </c>
      <c r="O15" s="108">
        <v>1.54</v>
      </c>
      <c r="P15" s="44">
        <v>1.34</v>
      </c>
      <c r="Q15" s="108">
        <v>1.76349666734612</v>
      </c>
      <c r="R15" s="108">
        <v>1.4819304125724</v>
      </c>
      <c r="S15" s="108">
        <v>1.8314628235872488</v>
      </c>
      <c r="T15" s="108">
        <v>1.74602206669689</v>
      </c>
      <c r="U15" s="108">
        <v>3.59</v>
      </c>
      <c r="V15" s="137">
        <v>1.88</v>
      </c>
      <c r="W15" s="150">
        <v>2.42</v>
      </c>
    </row>
    <row r="16" spans="1:23" ht="15">
      <c r="A16" s="44" t="s">
        <v>256</v>
      </c>
      <c r="B16" s="562">
        <v>1.87</v>
      </c>
      <c r="C16" s="562">
        <v>1.89</v>
      </c>
      <c r="D16" s="562">
        <v>1.81</v>
      </c>
      <c r="E16" s="562">
        <v>1.81</v>
      </c>
      <c r="F16" s="562">
        <v>1.85</v>
      </c>
      <c r="G16" s="562">
        <v>1.85</v>
      </c>
      <c r="H16" s="562">
        <v>1.86</v>
      </c>
      <c r="I16" s="562">
        <v>1.88</v>
      </c>
      <c r="J16" s="108">
        <v>0.32</v>
      </c>
      <c r="K16" s="132">
        <v>0</v>
      </c>
      <c r="L16" s="132">
        <v>0</v>
      </c>
      <c r="M16" s="132">
        <v>0</v>
      </c>
      <c r="N16" s="132" t="s">
        <v>152</v>
      </c>
      <c r="O16" s="132" t="s">
        <v>152</v>
      </c>
      <c r="P16" s="132" t="s">
        <v>152</v>
      </c>
      <c r="Q16" s="132" t="s">
        <v>152</v>
      </c>
      <c r="R16" s="132" t="s">
        <v>152</v>
      </c>
      <c r="S16" s="132" t="s">
        <v>152</v>
      </c>
      <c r="T16" s="132" t="s">
        <v>152</v>
      </c>
      <c r="U16" s="132" t="s">
        <v>152</v>
      </c>
      <c r="V16" s="132" t="s">
        <v>152</v>
      </c>
      <c r="W16" s="132" t="s">
        <v>152</v>
      </c>
    </row>
    <row r="17" spans="1:23" ht="15">
      <c r="A17" s="44" t="s">
        <v>137</v>
      </c>
      <c r="B17" s="562">
        <v>5.07</v>
      </c>
      <c r="C17" s="562">
        <v>4.44</v>
      </c>
      <c r="D17" s="562">
        <v>4.45</v>
      </c>
      <c r="E17" s="562">
        <v>4.32</v>
      </c>
      <c r="F17" s="562">
        <v>3.93</v>
      </c>
      <c r="G17" s="562">
        <v>3.71</v>
      </c>
      <c r="H17" s="562">
        <v>4.21</v>
      </c>
      <c r="I17" s="562">
        <v>4.41</v>
      </c>
      <c r="J17" s="108">
        <v>2.88</v>
      </c>
      <c r="K17" s="108">
        <v>2.58</v>
      </c>
      <c r="L17" s="213">
        <f aca="true" t="shared" si="1" ref="L17:T17">SUM(L15:L16)</f>
        <v>1.54</v>
      </c>
      <c r="M17" s="213">
        <f t="shared" si="1"/>
        <v>1.9</v>
      </c>
      <c r="N17" s="213">
        <f t="shared" si="1"/>
        <v>1.81</v>
      </c>
      <c r="O17" s="213">
        <f t="shared" si="1"/>
        <v>1.54</v>
      </c>
      <c r="P17" s="213">
        <f t="shared" si="1"/>
        <v>1.34</v>
      </c>
      <c r="Q17" s="213">
        <f t="shared" si="1"/>
        <v>1.76349666734612</v>
      </c>
      <c r="R17" s="213">
        <f t="shared" si="1"/>
        <v>1.4819304125724</v>
      </c>
      <c r="S17" s="213">
        <f t="shared" si="1"/>
        <v>1.8314628235872488</v>
      </c>
      <c r="T17" s="213">
        <f t="shared" si="1"/>
        <v>1.74602206669689</v>
      </c>
      <c r="U17" s="108">
        <v>3.59</v>
      </c>
      <c r="V17" s="137">
        <v>1.88</v>
      </c>
      <c r="W17" s="150">
        <v>2.42</v>
      </c>
    </row>
    <row r="18" spans="2:22" ht="15">
      <c r="B18" s="564" t="s">
        <v>292</v>
      </c>
      <c r="C18" s="564" t="s">
        <v>292</v>
      </c>
      <c r="D18" s="564" t="s">
        <v>292</v>
      </c>
      <c r="E18" s="564" t="s">
        <v>292</v>
      </c>
      <c r="F18" s="564" t="s">
        <v>292</v>
      </c>
      <c r="G18" s="564" t="s">
        <v>292</v>
      </c>
      <c r="H18" s="564" t="s">
        <v>292</v>
      </c>
      <c r="I18" s="564" t="s">
        <v>292</v>
      </c>
      <c r="J18" s="108"/>
      <c r="K18" s="108"/>
      <c r="L18" s="108"/>
      <c r="M18" s="108"/>
      <c r="N18" s="108"/>
      <c r="O18" s="108"/>
      <c r="P18" s="108"/>
      <c r="R18" s="62"/>
      <c r="V18" s="62"/>
    </row>
    <row r="19" spans="1:22" ht="15">
      <c r="A19" s="44" t="s">
        <v>244</v>
      </c>
      <c r="B19" s="567"/>
      <c r="C19" s="567"/>
      <c r="D19" s="567"/>
      <c r="E19" s="567"/>
      <c r="F19" s="567"/>
      <c r="G19" s="567"/>
      <c r="H19" s="567"/>
      <c r="I19" s="567"/>
      <c r="J19" s="108"/>
      <c r="K19" s="108"/>
      <c r="L19" s="108"/>
      <c r="M19" s="108"/>
      <c r="N19" s="108"/>
      <c r="O19" s="108"/>
      <c r="P19" s="108"/>
      <c r="R19" s="62"/>
      <c r="V19" s="62"/>
    </row>
    <row r="20" spans="1:23" ht="15">
      <c r="A20" s="44" t="s">
        <v>245</v>
      </c>
      <c r="B20" s="562">
        <v>0.04</v>
      </c>
      <c r="C20" s="568">
        <v>0</v>
      </c>
      <c r="D20" s="562">
        <v>0.04</v>
      </c>
      <c r="E20" s="562">
        <v>0.03</v>
      </c>
      <c r="F20" s="562">
        <v>0.03</v>
      </c>
      <c r="G20" s="562">
        <v>0.03</v>
      </c>
      <c r="H20" s="562">
        <v>0.03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61">
        <v>0.01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</row>
    <row r="21" spans="1:23" ht="15">
      <c r="A21" s="44" t="s">
        <v>246</v>
      </c>
      <c r="B21" s="562">
        <v>6</v>
      </c>
      <c r="C21" s="562">
        <v>6.1</v>
      </c>
      <c r="D21" s="562">
        <v>5.43</v>
      </c>
      <c r="E21" s="562">
        <v>5.46</v>
      </c>
      <c r="F21" s="562">
        <v>5.16</v>
      </c>
      <c r="G21" s="562">
        <v>4.48</v>
      </c>
      <c r="H21" s="562">
        <v>4.62</v>
      </c>
      <c r="I21" s="569">
        <v>4.34</v>
      </c>
      <c r="J21" s="108">
        <v>4.8</v>
      </c>
      <c r="K21" s="108">
        <v>4.56</v>
      </c>
      <c r="L21" s="108">
        <v>5.63</v>
      </c>
      <c r="M21" s="108">
        <v>4.62</v>
      </c>
      <c r="N21" s="137">
        <v>3.96</v>
      </c>
      <c r="O21" s="137">
        <v>4.05</v>
      </c>
      <c r="P21" s="44">
        <v>3.92</v>
      </c>
      <c r="Q21" s="108">
        <v>4.769</v>
      </c>
      <c r="R21" s="108">
        <v>4.191</v>
      </c>
      <c r="S21" s="108">
        <v>4.1017536827348735</v>
      </c>
      <c r="T21" s="108">
        <v>3.993953651478585</v>
      </c>
      <c r="U21" s="108">
        <v>3.43</v>
      </c>
      <c r="V21" s="137">
        <v>3.04</v>
      </c>
      <c r="W21" s="66">
        <v>2.7412466978482923</v>
      </c>
    </row>
    <row r="22" spans="1:23" ht="15">
      <c r="A22" s="64" t="s">
        <v>247</v>
      </c>
      <c r="B22" s="562">
        <v>1.37</v>
      </c>
      <c r="C22" s="562">
        <v>1.45</v>
      </c>
      <c r="D22" s="562">
        <v>1.14</v>
      </c>
      <c r="E22" s="562">
        <v>1.13</v>
      </c>
      <c r="F22" s="562">
        <v>1.15</v>
      </c>
      <c r="G22" s="562">
        <v>1.5</v>
      </c>
      <c r="H22" s="562">
        <v>1.52</v>
      </c>
      <c r="I22" s="569">
        <v>1.5</v>
      </c>
      <c r="J22" s="109">
        <v>0</v>
      </c>
      <c r="K22" s="109">
        <v>0</v>
      </c>
      <c r="L22" s="108">
        <v>0.03</v>
      </c>
      <c r="M22" s="109">
        <v>0</v>
      </c>
      <c r="N22" s="161">
        <v>0.03</v>
      </c>
      <c r="O22" s="161">
        <v>0.02</v>
      </c>
      <c r="P22" s="44">
        <v>0.02</v>
      </c>
      <c r="Q22" s="108">
        <v>0.0158</v>
      </c>
      <c r="R22" s="108">
        <v>0.112</v>
      </c>
      <c r="S22" s="108">
        <v>0.0315389508143991</v>
      </c>
      <c r="T22" s="108">
        <v>0.0172465608496958</v>
      </c>
      <c r="U22" s="108">
        <v>0.04</v>
      </c>
      <c r="V22" s="137">
        <v>0.05</v>
      </c>
      <c r="W22" s="66">
        <v>0.007933866481720175</v>
      </c>
    </row>
    <row r="23" spans="1:23" ht="15">
      <c r="A23" s="64" t="s">
        <v>248</v>
      </c>
      <c r="B23" s="562">
        <v>4.5</v>
      </c>
      <c r="C23" s="562">
        <v>3.79</v>
      </c>
      <c r="D23" s="562">
        <v>4.06</v>
      </c>
      <c r="E23" s="562">
        <v>4.74</v>
      </c>
      <c r="F23" s="562">
        <v>4.82</v>
      </c>
      <c r="G23" s="562">
        <v>5.21</v>
      </c>
      <c r="H23" s="562">
        <v>4.91</v>
      </c>
      <c r="I23" s="569">
        <v>5.78</v>
      </c>
      <c r="J23" s="108">
        <v>5.57</v>
      </c>
      <c r="K23" s="108">
        <v>4.91</v>
      </c>
      <c r="L23" s="108">
        <v>6.58</v>
      </c>
      <c r="M23" s="108">
        <v>6.79</v>
      </c>
      <c r="N23" s="137">
        <v>6.01</v>
      </c>
      <c r="O23" s="137">
        <v>5.99</v>
      </c>
      <c r="P23" s="44">
        <v>6.03</v>
      </c>
      <c r="Q23" s="108">
        <v>5.409</v>
      </c>
      <c r="R23" s="108">
        <v>5.86</v>
      </c>
      <c r="S23" s="108">
        <v>6.363121112136033</v>
      </c>
      <c r="T23" s="108">
        <v>8.18343047349351</v>
      </c>
      <c r="U23" s="108">
        <v>6.63</v>
      </c>
      <c r="V23" s="137">
        <v>7.8</v>
      </c>
      <c r="W23" s="66">
        <v>7.94658568993603</v>
      </c>
    </row>
    <row r="24" spans="1:23" ht="15">
      <c r="A24" s="64" t="s">
        <v>249</v>
      </c>
      <c r="B24" s="562">
        <v>11.92</v>
      </c>
      <c r="C24" s="562">
        <v>11.34</v>
      </c>
      <c r="D24" s="562">
        <v>10.66</v>
      </c>
      <c r="E24" s="562">
        <v>11.35</v>
      </c>
      <c r="F24" s="562">
        <v>11.16</v>
      </c>
      <c r="G24" s="562">
        <v>11.22</v>
      </c>
      <c r="H24" s="562">
        <v>11.08</v>
      </c>
      <c r="I24" s="562">
        <v>11.62</v>
      </c>
      <c r="J24" s="108">
        <v>10.37</v>
      </c>
      <c r="K24" s="108">
        <v>9.47</v>
      </c>
      <c r="L24" s="214">
        <f aca="true" t="shared" si="2" ref="L24:T24">SUM(L20:L23)</f>
        <v>12.24</v>
      </c>
      <c r="M24" s="214">
        <f t="shared" si="2"/>
        <v>11.41</v>
      </c>
      <c r="N24" s="214">
        <f t="shared" si="2"/>
        <v>10.01</v>
      </c>
      <c r="O24" s="214">
        <f t="shared" si="2"/>
        <v>10.059999999999999</v>
      </c>
      <c r="P24" s="214">
        <f t="shared" si="2"/>
        <v>9.97</v>
      </c>
      <c r="Q24" s="214">
        <f t="shared" si="2"/>
        <v>10.1938</v>
      </c>
      <c r="R24" s="214">
        <f t="shared" si="2"/>
        <v>10.163</v>
      </c>
      <c r="S24" s="214">
        <f t="shared" si="2"/>
        <v>10.496413745685306</v>
      </c>
      <c r="T24" s="214">
        <f t="shared" si="2"/>
        <v>12.194630685821792</v>
      </c>
      <c r="U24" s="137">
        <v>10.1</v>
      </c>
      <c r="V24" s="137">
        <v>10.89</v>
      </c>
      <c r="W24" s="214">
        <f>SUM(W20:W23)</f>
        <v>10.695766254266042</v>
      </c>
    </row>
    <row r="25" spans="1:22" ht="15">
      <c r="A25" s="64"/>
      <c r="B25" s="564" t="s">
        <v>292</v>
      </c>
      <c r="C25" s="564" t="s">
        <v>292</v>
      </c>
      <c r="D25" s="564" t="s">
        <v>292</v>
      </c>
      <c r="E25" s="564" t="s">
        <v>292</v>
      </c>
      <c r="F25" s="564" t="s">
        <v>292</v>
      </c>
      <c r="G25" s="564" t="s">
        <v>292</v>
      </c>
      <c r="H25" s="564" t="s">
        <v>292</v>
      </c>
      <c r="I25" s="564" t="s">
        <v>292</v>
      </c>
      <c r="J25" s="66"/>
      <c r="K25" s="66"/>
      <c r="L25" s="66"/>
      <c r="M25" s="108"/>
      <c r="N25" s="108"/>
      <c r="O25" s="108"/>
      <c r="P25" s="108"/>
      <c r="R25" s="62"/>
      <c r="V25" s="62"/>
    </row>
    <row r="26" spans="1:23" ht="18">
      <c r="A26" s="64" t="s">
        <v>617</v>
      </c>
      <c r="B26" s="60">
        <f aca="true" t="shared" si="3" ref="B26:K26">B12+B17+B20+B23</f>
        <v>34.81</v>
      </c>
      <c r="C26" s="60">
        <f t="shared" si="3"/>
        <v>34.93</v>
      </c>
      <c r="D26" s="60">
        <f t="shared" si="3"/>
        <v>34.25</v>
      </c>
      <c r="E26" s="60">
        <f t="shared" si="3"/>
        <v>33.59</v>
      </c>
      <c r="F26" s="60">
        <f t="shared" si="3"/>
        <v>36.28</v>
      </c>
      <c r="G26" s="60">
        <f t="shared" si="3"/>
        <v>40.85</v>
      </c>
      <c r="H26" s="60">
        <f t="shared" si="3"/>
        <v>45.35000000000001</v>
      </c>
      <c r="I26" s="60">
        <f t="shared" si="3"/>
        <v>44.69</v>
      </c>
      <c r="J26" s="60">
        <f t="shared" si="3"/>
        <v>48.150000000000006</v>
      </c>
      <c r="K26" s="60">
        <f t="shared" si="3"/>
        <v>42.78999999999999</v>
      </c>
      <c r="L26" s="60">
        <f aca="true" t="shared" si="4" ref="L26:R26">L12+L17+L20+L23</f>
        <v>32.8</v>
      </c>
      <c r="M26" s="60">
        <f t="shared" si="4"/>
        <v>29.319999999999997</v>
      </c>
      <c r="N26" s="147">
        <f t="shared" si="4"/>
        <v>27.03</v>
      </c>
      <c r="O26" s="147">
        <f t="shared" si="4"/>
        <v>27.03</v>
      </c>
      <c r="P26" s="147">
        <f t="shared" si="4"/>
        <v>27.860000000000003</v>
      </c>
      <c r="Q26" s="147">
        <f t="shared" si="4"/>
        <v>32.70368222518079</v>
      </c>
      <c r="R26" s="147">
        <f t="shared" si="4"/>
        <v>27.923358785543872</v>
      </c>
      <c r="S26" s="147">
        <f>S12+S17+S20+S23</f>
        <v>30.98205106654588</v>
      </c>
      <c r="T26" s="147">
        <f>T12+T17+T20+T23</f>
        <v>33.209855793314254</v>
      </c>
      <c r="U26" s="546">
        <v>30.06</v>
      </c>
      <c r="V26" s="147">
        <f>V12+V17+V20+V23</f>
        <v>27.630000000000003</v>
      </c>
      <c r="W26" s="147">
        <f>W12+W17+W20+W23</f>
        <v>26.69658568993603</v>
      </c>
    </row>
    <row r="27" spans="1:22" ht="15">
      <c r="A27" s="64"/>
      <c r="B27" s="570"/>
      <c r="C27" s="570"/>
      <c r="D27" s="570"/>
      <c r="E27" s="570"/>
      <c r="F27" s="570"/>
      <c r="G27" s="570"/>
      <c r="H27" s="570"/>
      <c r="I27" s="570"/>
      <c r="J27" s="108"/>
      <c r="K27" s="108"/>
      <c r="L27" s="108"/>
      <c r="M27" s="108"/>
      <c r="N27" s="108"/>
      <c r="O27" s="108"/>
      <c r="P27" s="108"/>
      <c r="R27" s="62"/>
      <c r="V27" s="62"/>
    </row>
    <row r="28" spans="1:25" ht="18">
      <c r="A28" s="64" t="s">
        <v>618</v>
      </c>
      <c r="B28" s="571">
        <v>48.317</v>
      </c>
      <c r="C28" s="571">
        <v>47.614</v>
      </c>
      <c r="D28" s="571">
        <v>54.063</v>
      </c>
      <c r="E28" s="571">
        <v>57.933</v>
      </c>
      <c r="F28" s="572">
        <v>75.768</v>
      </c>
      <c r="G28" s="573">
        <v>71.561</v>
      </c>
      <c r="H28" s="572">
        <v>64.034</v>
      </c>
      <c r="I28" s="571">
        <v>57.561</v>
      </c>
      <c r="J28" s="574">
        <v>60.58</v>
      </c>
      <c r="K28" s="584">
        <v>67.22</v>
      </c>
      <c r="L28" s="141">
        <v>73.19</v>
      </c>
      <c r="M28" s="141">
        <v>67</v>
      </c>
      <c r="N28" s="141">
        <v>67.783</v>
      </c>
      <c r="O28" s="141">
        <v>58.903</v>
      </c>
      <c r="P28" s="141">
        <v>54.45</v>
      </c>
      <c r="Q28" s="141">
        <v>45</v>
      </c>
      <c r="R28" s="141">
        <v>43.994</v>
      </c>
      <c r="S28" s="141">
        <v>45.581459045590144</v>
      </c>
      <c r="T28" s="141">
        <v>42.416</v>
      </c>
      <c r="U28" s="141">
        <v>38.32</v>
      </c>
      <c r="V28" s="137">
        <v>39.891</v>
      </c>
      <c r="W28" s="137">
        <v>33.358</v>
      </c>
      <c r="Y28" s="251"/>
    </row>
    <row r="29" spans="1:22" ht="15">
      <c r="A29" s="64"/>
      <c r="B29" s="570"/>
      <c r="C29" s="570"/>
      <c r="D29" s="570"/>
      <c r="E29" s="570"/>
      <c r="F29" s="570"/>
      <c r="G29" s="570"/>
      <c r="H29" s="570"/>
      <c r="I29" s="570"/>
      <c r="J29" s="108"/>
      <c r="K29" s="108"/>
      <c r="L29" s="108"/>
      <c r="M29" s="108"/>
      <c r="N29" s="108"/>
      <c r="O29" s="108"/>
      <c r="P29" s="108"/>
      <c r="R29" s="62"/>
      <c r="V29" s="62"/>
    </row>
    <row r="30" spans="1:23" ht="18">
      <c r="A30" s="64" t="s">
        <v>619</v>
      </c>
      <c r="B30" s="60">
        <f aca="true" t="shared" si="5" ref="B30:K30">B12+B17+B20+B28</f>
        <v>78.627</v>
      </c>
      <c r="C30" s="60">
        <f t="shared" si="5"/>
        <v>78.75399999999999</v>
      </c>
      <c r="D30" s="60">
        <f t="shared" si="5"/>
        <v>84.253</v>
      </c>
      <c r="E30" s="60">
        <f t="shared" si="5"/>
        <v>86.783</v>
      </c>
      <c r="F30" s="575">
        <f t="shared" si="5"/>
        <v>107.22800000000001</v>
      </c>
      <c r="G30" s="60">
        <f t="shared" si="5"/>
        <v>107.20100000000001</v>
      </c>
      <c r="H30" s="575">
        <f t="shared" si="5"/>
        <v>104.47400000000002</v>
      </c>
      <c r="I30" s="60">
        <f t="shared" si="5"/>
        <v>96.471</v>
      </c>
      <c r="J30" s="575">
        <f t="shared" si="5"/>
        <v>103.16</v>
      </c>
      <c r="K30" s="585">
        <f t="shared" si="5"/>
        <v>105.1</v>
      </c>
      <c r="L30" s="117">
        <f aca="true" t="shared" si="6" ref="L30:R30">L12+L17+L20+L28</f>
        <v>99.41</v>
      </c>
      <c r="M30" s="158">
        <f t="shared" si="6"/>
        <v>89.53</v>
      </c>
      <c r="N30" s="158">
        <f t="shared" si="6"/>
        <v>88.803</v>
      </c>
      <c r="O30" s="158">
        <f t="shared" si="6"/>
        <v>79.943</v>
      </c>
      <c r="P30" s="158">
        <f t="shared" si="6"/>
        <v>76.28</v>
      </c>
      <c r="Q30" s="158">
        <f t="shared" si="6"/>
        <v>72.2946822251808</v>
      </c>
      <c r="R30" s="158">
        <f t="shared" si="6"/>
        <v>66.05735878554387</v>
      </c>
      <c r="S30" s="158">
        <f>S12+S17+S20+S28</f>
        <v>70.20038899999999</v>
      </c>
      <c r="T30" s="158">
        <f>T12+T17+T20+T28</f>
        <v>67.44242531982074</v>
      </c>
      <c r="U30" s="547">
        <v>61.75</v>
      </c>
      <c r="V30" s="158">
        <f>V12+V17+V20+V28</f>
        <v>59.721000000000004</v>
      </c>
      <c r="W30" s="158">
        <f>W12+W17+W20+W28</f>
        <v>52.108</v>
      </c>
    </row>
    <row r="31" spans="10:22" ht="15">
      <c r="J31" s="576"/>
      <c r="K31" s="576"/>
      <c r="L31" s="62"/>
      <c r="M31" s="108"/>
      <c r="N31" s="108"/>
      <c r="O31" s="108"/>
      <c r="P31" s="108"/>
      <c r="R31" s="62"/>
      <c r="V31" s="62"/>
    </row>
    <row r="32" spans="1:22" ht="15.75">
      <c r="A32" s="248" t="s">
        <v>620</v>
      </c>
      <c r="J32" s="567"/>
      <c r="K32" s="577"/>
      <c r="N32" s="62"/>
      <c r="O32" s="62"/>
      <c r="P32" s="62"/>
      <c r="Q32" s="62"/>
      <c r="R32" s="252"/>
      <c r="S32" s="163"/>
      <c r="T32" s="163"/>
      <c r="U32" s="163"/>
      <c r="V32" s="163" t="s">
        <v>258</v>
      </c>
    </row>
    <row r="33" spans="1:22" ht="8.25" customHeight="1">
      <c r="A33" s="248"/>
      <c r="I33" s="578"/>
      <c r="J33" s="576"/>
      <c r="K33" s="576"/>
      <c r="L33" s="62"/>
      <c r="M33" s="108"/>
      <c r="N33" s="108"/>
      <c r="O33" s="108"/>
      <c r="P33" s="108"/>
      <c r="R33" s="62"/>
      <c r="V33" s="62"/>
    </row>
    <row r="34" spans="1:22" ht="18">
      <c r="A34" s="44" t="s">
        <v>615</v>
      </c>
      <c r="I34" s="578"/>
      <c r="J34" s="576"/>
      <c r="K34" s="576"/>
      <c r="L34" s="62"/>
      <c r="M34" s="108"/>
      <c r="N34" s="108"/>
      <c r="O34" s="108"/>
      <c r="P34" s="108"/>
      <c r="R34" s="62"/>
      <c r="V34" s="62"/>
    </row>
    <row r="35" spans="1:23" ht="15">
      <c r="A35" s="44" t="s">
        <v>241</v>
      </c>
      <c r="B35" s="50">
        <v>17130</v>
      </c>
      <c r="C35" s="50">
        <v>17860</v>
      </c>
      <c r="D35" s="50">
        <v>16960</v>
      </c>
      <c r="E35" s="50">
        <v>16310</v>
      </c>
      <c r="F35" s="50">
        <v>17500</v>
      </c>
      <c r="G35" s="50">
        <v>21610</v>
      </c>
      <c r="H35" s="50">
        <v>26440</v>
      </c>
      <c r="I35" s="57">
        <v>23350</v>
      </c>
      <c r="J35" s="49">
        <v>25480</v>
      </c>
      <c r="K35" s="586">
        <v>23020</v>
      </c>
      <c r="L35" s="159">
        <v>15750</v>
      </c>
      <c r="M35" s="159">
        <v>11450</v>
      </c>
      <c r="N35" s="159">
        <v>10340</v>
      </c>
      <c r="O35" s="159">
        <v>10460</v>
      </c>
      <c r="P35" s="47">
        <v>10580</v>
      </c>
      <c r="Q35" s="49">
        <v>13523.4627829686</v>
      </c>
      <c r="R35" s="49">
        <v>10549.6627451501</v>
      </c>
      <c r="S35" s="49">
        <v>13154.602590117907</v>
      </c>
      <c r="T35" s="49">
        <v>14455.84388887114</v>
      </c>
      <c r="U35" s="49">
        <v>12360</v>
      </c>
      <c r="V35" s="49">
        <v>10777.3832946913</v>
      </c>
      <c r="W35" s="55">
        <v>10628</v>
      </c>
    </row>
    <row r="36" spans="1:23" ht="15">
      <c r="A36" s="44" t="s">
        <v>242</v>
      </c>
      <c r="B36" s="50">
        <v>200</v>
      </c>
      <c r="C36" s="50">
        <v>270</v>
      </c>
      <c r="D36" s="50">
        <v>260</v>
      </c>
      <c r="E36" s="50">
        <v>80</v>
      </c>
      <c r="F36" s="50">
        <v>120</v>
      </c>
      <c r="G36" s="50">
        <v>1040</v>
      </c>
      <c r="H36" s="50">
        <v>130</v>
      </c>
      <c r="I36" s="57">
        <v>350</v>
      </c>
      <c r="J36" s="49">
        <v>390</v>
      </c>
      <c r="K36" s="49">
        <v>510</v>
      </c>
      <c r="L36" s="135">
        <v>160</v>
      </c>
      <c r="M36" s="135">
        <v>410</v>
      </c>
      <c r="N36" s="135">
        <v>180</v>
      </c>
      <c r="O36" s="135">
        <v>360</v>
      </c>
      <c r="P36" s="44">
        <v>170</v>
      </c>
      <c r="Q36" s="49">
        <v>391.078908218786</v>
      </c>
      <c r="R36" s="49">
        <v>368.498909221944</v>
      </c>
      <c r="S36" s="49">
        <v>304.7725540432619</v>
      </c>
      <c r="T36" s="49">
        <v>343.46212297709</v>
      </c>
      <c r="U36" s="49">
        <v>261</v>
      </c>
      <c r="V36" s="164">
        <v>301.766441363753</v>
      </c>
      <c r="W36" s="150">
        <v>303</v>
      </c>
    </row>
    <row r="37" spans="1:23" ht="15">
      <c r="A37" s="44" t="s">
        <v>172</v>
      </c>
      <c r="B37" s="50">
        <v>1760</v>
      </c>
      <c r="C37" s="50">
        <v>4710</v>
      </c>
      <c r="D37" s="50">
        <v>3720</v>
      </c>
      <c r="E37" s="50">
        <v>3320</v>
      </c>
      <c r="F37" s="50">
        <v>2120</v>
      </c>
      <c r="G37" s="50">
        <v>2460</v>
      </c>
      <c r="H37" s="50">
        <v>2680</v>
      </c>
      <c r="I37" s="57">
        <v>2580</v>
      </c>
      <c r="J37" s="49">
        <v>3740</v>
      </c>
      <c r="K37" s="49">
        <v>3320</v>
      </c>
      <c r="L37" s="135">
        <v>4220</v>
      </c>
      <c r="M37" s="135">
        <v>3690</v>
      </c>
      <c r="N37" s="135">
        <v>4020</v>
      </c>
      <c r="O37" s="135">
        <v>4030</v>
      </c>
      <c r="P37" s="47">
        <v>3310</v>
      </c>
      <c r="Q37" s="49">
        <v>3542.9361557527</v>
      </c>
      <c r="R37" s="49">
        <v>3572.82386194311</v>
      </c>
      <c r="S37" s="49">
        <v>3449.407823982528</v>
      </c>
      <c r="T37" s="49">
        <v>3090.372337290559</v>
      </c>
      <c r="U37" s="49">
        <v>2700</v>
      </c>
      <c r="V37" s="49">
        <v>2478</v>
      </c>
      <c r="W37" s="49">
        <v>2080</v>
      </c>
    </row>
    <row r="38" spans="1:23" ht="15">
      <c r="A38" s="44" t="s">
        <v>137</v>
      </c>
      <c r="B38" s="50">
        <v>19090</v>
      </c>
      <c r="C38" s="50">
        <v>22850</v>
      </c>
      <c r="D38" s="50">
        <v>20940</v>
      </c>
      <c r="E38" s="50">
        <v>19710</v>
      </c>
      <c r="F38" s="50">
        <v>19740</v>
      </c>
      <c r="G38" s="50">
        <v>25110</v>
      </c>
      <c r="H38" s="50">
        <v>29250</v>
      </c>
      <c r="I38" s="57">
        <v>26280</v>
      </c>
      <c r="J38" s="49">
        <v>29610</v>
      </c>
      <c r="K38" s="586">
        <v>26850</v>
      </c>
      <c r="L38" s="159">
        <v>20100</v>
      </c>
      <c r="M38" s="159">
        <v>15600</v>
      </c>
      <c r="N38" s="215">
        <f aca="true" t="shared" si="7" ref="N38:W38">SUM(N35:N37)</f>
        <v>14540</v>
      </c>
      <c r="O38" s="215">
        <f t="shared" si="7"/>
        <v>14850</v>
      </c>
      <c r="P38" s="228">
        <f t="shared" si="7"/>
        <v>14060</v>
      </c>
      <c r="Q38" s="228">
        <f t="shared" si="7"/>
        <v>17457.477846940084</v>
      </c>
      <c r="R38" s="228">
        <f t="shared" si="7"/>
        <v>14490.985516315155</v>
      </c>
      <c r="S38" s="228">
        <f t="shared" si="7"/>
        <v>16908.782968143696</v>
      </c>
      <c r="T38" s="228">
        <f t="shared" si="7"/>
        <v>17889.67834913879</v>
      </c>
      <c r="U38" s="548">
        <v>15321</v>
      </c>
      <c r="V38" s="228">
        <f t="shared" si="7"/>
        <v>13557.149736055053</v>
      </c>
      <c r="W38" s="228">
        <f t="shared" si="7"/>
        <v>13011</v>
      </c>
    </row>
    <row r="39" spans="2:22" ht="15">
      <c r="B39" s="579" t="s">
        <v>292</v>
      </c>
      <c r="C39" s="579" t="s">
        <v>292</v>
      </c>
      <c r="D39" s="579" t="s">
        <v>292</v>
      </c>
      <c r="E39" s="579" t="s">
        <v>292</v>
      </c>
      <c r="F39" s="579" t="s">
        <v>292</v>
      </c>
      <c r="G39" s="579" t="s">
        <v>292</v>
      </c>
      <c r="H39" s="579" t="s">
        <v>292</v>
      </c>
      <c r="I39" s="579" t="s">
        <v>292</v>
      </c>
      <c r="J39" s="49"/>
      <c r="K39" s="49"/>
      <c r="L39" s="49"/>
      <c r="M39" s="135"/>
      <c r="N39" s="135"/>
      <c r="O39" s="135"/>
      <c r="P39" s="135"/>
      <c r="R39" s="49"/>
      <c r="S39" s="49"/>
      <c r="T39" s="49"/>
      <c r="U39" s="49"/>
      <c r="V39" s="49"/>
    </row>
    <row r="40" spans="1:22" ht="18">
      <c r="A40" s="44" t="s">
        <v>616</v>
      </c>
      <c r="I40" s="578"/>
      <c r="J40" s="49"/>
      <c r="K40" s="49"/>
      <c r="L40" s="49"/>
      <c r="M40" s="135"/>
      <c r="N40" s="135"/>
      <c r="O40" s="135"/>
      <c r="P40" s="135"/>
      <c r="R40" s="49"/>
      <c r="S40" s="49"/>
      <c r="T40" s="49"/>
      <c r="U40" s="49"/>
      <c r="V40" s="49"/>
    </row>
    <row r="41" spans="1:23" ht="15">
      <c r="A41" s="44" t="s">
        <v>243</v>
      </c>
      <c r="B41" s="47">
        <v>630</v>
      </c>
      <c r="C41" s="47">
        <v>560</v>
      </c>
      <c r="D41" s="47">
        <v>570</v>
      </c>
      <c r="E41" s="47">
        <v>570</v>
      </c>
      <c r="F41" s="47">
        <v>470</v>
      </c>
      <c r="G41" s="47">
        <v>470</v>
      </c>
      <c r="H41" s="47">
        <v>560</v>
      </c>
      <c r="I41" s="51">
        <v>560</v>
      </c>
      <c r="J41" s="49">
        <v>530</v>
      </c>
      <c r="K41" s="49">
        <v>600</v>
      </c>
      <c r="L41" s="135">
        <v>1540</v>
      </c>
      <c r="M41" s="135">
        <v>1900</v>
      </c>
      <c r="N41" s="135">
        <v>1810</v>
      </c>
      <c r="O41" s="135">
        <v>1540</v>
      </c>
      <c r="P41" s="47">
        <v>1270</v>
      </c>
      <c r="Q41" s="49">
        <v>1761.94438671983</v>
      </c>
      <c r="R41" s="49">
        <v>1481.9304125724</v>
      </c>
      <c r="S41" s="49">
        <v>1831.7776603041343</v>
      </c>
      <c r="T41" s="49">
        <v>1746.03253647473</v>
      </c>
      <c r="U41" s="49">
        <v>2287</v>
      </c>
      <c r="V41" s="136">
        <v>1885.35936591427</v>
      </c>
      <c r="W41" s="150">
        <v>2190</v>
      </c>
    </row>
    <row r="42" spans="1:23" ht="15">
      <c r="A42" s="44" t="s">
        <v>256</v>
      </c>
      <c r="B42" s="47">
        <v>50</v>
      </c>
      <c r="C42" s="47">
        <v>50</v>
      </c>
      <c r="D42" s="47">
        <v>50</v>
      </c>
      <c r="E42" s="47">
        <v>50</v>
      </c>
      <c r="F42" s="47">
        <v>50</v>
      </c>
      <c r="G42" s="47">
        <v>50</v>
      </c>
      <c r="H42" s="47">
        <v>50</v>
      </c>
      <c r="I42" s="51">
        <v>50</v>
      </c>
      <c r="J42" s="54" t="s">
        <v>152</v>
      </c>
      <c r="K42" s="54" t="s">
        <v>152</v>
      </c>
      <c r="L42" s="136" t="s">
        <v>152</v>
      </c>
      <c r="M42" s="136">
        <v>0</v>
      </c>
      <c r="N42" s="136" t="s">
        <v>152</v>
      </c>
      <c r="O42" s="136" t="s">
        <v>152</v>
      </c>
      <c r="P42" s="136" t="s">
        <v>152</v>
      </c>
      <c r="Q42" s="136" t="s">
        <v>152</v>
      </c>
      <c r="R42" s="136" t="s">
        <v>152</v>
      </c>
      <c r="S42" s="136" t="s">
        <v>152</v>
      </c>
      <c r="T42" s="136" t="s">
        <v>152</v>
      </c>
      <c r="U42" s="136" t="s">
        <v>152</v>
      </c>
      <c r="V42" s="136" t="s">
        <v>152</v>
      </c>
      <c r="W42" s="150" t="s">
        <v>189</v>
      </c>
    </row>
    <row r="43" spans="1:23" ht="15">
      <c r="A43" s="44" t="s">
        <v>137</v>
      </c>
      <c r="B43" s="47">
        <v>680</v>
      </c>
      <c r="C43" s="47">
        <v>610</v>
      </c>
      <c r="D43" s="47">
        <v>620</v>
      </c>
      <c r="E43" s="47">
        <v>620</v>
      </c>
      <c r="F43" s="47">
        <v>520</v>
      </c>
      <c r="G43" s="47">
        <v>520</v>
      </c>
      <c r="H43" s="47">
        <v>610</v>
      </c>
      <c r="I43" s="51">
        <v>610</v>
      </c>
      <c r="J43" s="49">
        <v>530</v>
      </c>
      <c r="K43" s="49">
        <v>600</v>
      </c>
      <c r="L43" s="229">
        <f aca="true" t="shared" si="8" ref="L43:T43">SUM(L40:L42)</f>
        <v>1540</v>
      </c>
      <c r="M43" s="229">
        <f t="shared" si="8"/>
        <v>1900</v>
      </c>
      <c r="N43" s="229">
        <f t="shared" si="8"/>
        <v>1810</v>
      </c>
      <c r="O43" s="229">
        <f t="shared" si="8"/>
        <v>1540</v>
      </c>
      <c r="P43" s="229">
        <f t="shared" si="8"/>
        <v>1270</v>
      </c>
      <c r="Q43" s="229">
        <f t="shared" si="8"/>
        <v>1761.94438671983</v>
      </c>
      <c r="R43" s="229">
        <f t="shared" si="8"/>
        <v>1481.9304125724</v>
      </c>
      <c r="S43" s="229">
        <f t="shared" si="8"/>
        <v>1831.7776603041343</v>
      </c>
      <c r="T43" s="229">
        <f t="shared" si="8"/>
        <v>1746.03253647473</v>
      </c>
      <c r="U43" s="110">
        <v>2287</v>
      </c>
      <c r="V43" s="136">
        <v>1885</v>
      </c>
      <c r="W43" s="150">
        <v>2190</v>
      </c>
    </row>
    <row r="44" spans="2:22" ht="15">
      <c r="B44" s="580" t="s">
        <v>292</v>
      </c>
      <c r="C44" s="580" t="s">
        <v>292</v>
      </c>
      <c r="D44" s="580" t="s">
        <v>292</v>
      </c>
      <c r="E44" s="580" t="s">
        <v>292</v>
      </c>
      <c r="F44" s="580" t="s">
        <v>292</v>
      </c>
      <c r="G44" s="580" t="s">
        <v>292</v>
      </c>
      <c r="H44" s="580" t="s">
        <v>292</v>
      </c>
      <c r="I44" s="580" t="s">
        <v>292</v>
      </c>
      <c r="J44" s="49"/>
      <c r="K44" s="49"/>
      <c r="L44" s="49"/>
      <c r="M44" s="135"/>
      <c r="N44" s="135"/>
      <c r="O44" s="135"/>
      <c r="P44" s="135"/>
      <c r="R44" s="49"/>
      <c r="S44" s="49"/>
      <c r="T44" s="49"/>
      <c r="U44" s="49"/>
      <c r="V44" s="49"/>
    </row>
    <row r="45" spans="1:22" ht="15">
      <c r="A45" s="44" t="s">
        <v>244</v>
      </c>
      <c r="I45" s="578"/>
      <c r="J45" s="49"/>
      <c r="K45" s="49"/>
      <c r="L45" s="49"/>
      <c r="M45" s="135"/>
      <c r="N45" s="135"/>
      <c r="O45" s="135"/>
      <c r="P45" s="135"/>
      <c r="R45" s="49"/>
      <c r="S45" s="49"/>
      <c r="T45" s="49"/>
      <c r="U45" s="49"/>
      <c r="V45" s="49"/>
    </row>
    <row r="46" spans="1:23" ht="15">
      <c r="A46" s="44" t="s">
        <v>250</v>
      </c>
      <c r="B46" s="50">
        <v>1</v>
      </c>
      <c r="C46" s="581" t="s">
        <v>152</v>
      </c>
      <c r="D46" s="581" t="s">
        <v>152</v>
      </c>
      <c r="E46" s="581" t="s">
        <v>152</v>
      </c>
      <c r="F46" s="581" t="s">
        <v>152</v>
      </c>
      <c r="G46" s="581" t="s">
        <v>152</v>
      </c>
      <c r="H46" s="581" t="s">
        <v>152</v>
      </c>
      <c r="I46" s="581" t="s">
        <v>152</v>
      </c>
      <c r="J46" s="54" t="s">
        <v>152</v>
      </c>
      <c r="K46" s="54" t="s">
        <v>152</v>
      </c>
      <c r="L46" s="136" t="s">
        <v>152</v>
      </c>
      <c r="M46" s="136">
        <v>0</v>
      </c>
      <c r="N46" s="136" t="s">
        <v>152</v>
      </c>
      <c r="O46" s="136" t="s">
        <v>152</v>
      </c>
      <c r="P46" s="136" t="s">
        <v>152</v>
      </c>
      <c r="Q46" s="136" t="s">
        <v>152</v>
      </c>
      <c r="R46" s="136" t="s">
        <v>152</v>
      </c>
      <c r="S46" s="136" t="s">
        <v>152</v>
      </c>
      <c r="T46" s="136" t="s">
        <v>152</v>
      </c>
      <c r="U46" s="136" t="s">
        <v>152</v>
      </c>
      <c r="V46" s="136" t="s">
        <v>152</v>
      </c>
      <c r="W46" s="136" t="s">
        <v>152</v>
      </c>
    </row>
    <row r="47" spans="1:23" ht="15">
      <c r="A47" s="44" t="s">
        <v>251</v>
      </c>
      <c r="B47" s="50">
        <v>136</v>
      </c>
      <c r="C47" s="50">
        <v>140</v>
      </c>
      <c r="D47" s="50">
        <v>130</v>
      </c>
      <c r="E47" s="50">
        <v>130</v>
      </c>
      <c r="F47" s="50">
        <v>120</v>
      </c>
      <c r="G47" s="50">
        <v>100</v>
      </c>
      <c r="H47" s="50">
        <v>100</v>
      </c>
      <c r="I47" s="548">
        <v>100</v>
      </c>
      <c r="J47" s="49">
        <v>110</v>
      </c>
      <c r="K47" s="49">
        <v>100</v>
      </c>
      <c r="L47" s="135">
        <v>120</v>
      </c>
      <c r="M47" s="135">
        <v>110</v>
      </c>
      <c r="N47" s="135">
        <v>100</v>
      </c>
      <c r="O47" s="135">
        <v>90</v>
      </c>
      <c r="P47" s="44">
        <v>90</v>
      </c>
      <c r="Q47" s="49">
        <v>115</v>
      </c>
      <c r="R47" s="49">
        <v>100.8</v>
      </c>
      <c r="S47" s="49">
        <v>100.99963757346924</v>
      </c>
      <c r="T47" s="49">
        <v>101.3385836209898</v>
      </c>
      <c r="U47" s="49">
        <v>83</v>
      </c>
      <c r="V47" s="164">
        <v>80</v>
      </c>
      <c r="W47" s="150">
        <v>80</v>
      </c>
    </row>
    <row r="48" spans="1:23" ht="15">
      <c r="A48" s="64" t="s">
        <v>252</v>
      </c>
      <c r="B48" s="50">
        <v>58</v>
      </c>
      <c r="C48" s="50">
        <v>61</v>
      </c>
      <c r="D48" s="50">
        <v>50</v>
      </c>
      <c r="E48" s="50">
        <v>50</v>
      </c>
      <c r="F48" s="50">
        <v>50</v>
      </c>
      <c r="G48" s="50">
        <v>60</v>
      </c>
      <c r="H48" s="50">
        <v>60</v>
      </c>
      <c r="I48" s="548">
        <v>60</v>
      </c>
      <c r="J48" s="54" t="s">
        <v>152</v>
      </c>
      <c r="K48" s="54" t="s">
        <v>152</v>
      </c>
      <c r="L48" s="136" t="s">
        <v>152</v>
      </c>
      <c r="M48" s="136">
        <v>0</v>
      </c>
      <c r="N48" s="136" t="s">
        <v>152</v>
      </c>
      <c r="O48" s="136" t="s">
        <v>152</v>
      </c>
      <c r="P48" s="136" t="s">
        <v>152</v>
      </c>
      <c r="Q48" s="136" t="s">
        <v>152</v>
      </c>
      <c r="R48" s="136" t="s">
        <v>152</v>
      </c>
      <c r="S48" s="136" t="s">
        <v>152</v>
      </c>
      <c r="T48" s="136" t="s">
        <v>152</v>
      </c>
      <c r="U48" s="136" t="s">
        <v>152</v>
      </c>
      <c r="V48" s="136" t="s">
        <v>152</v>
      </c>
      <c r="W48" s="136" t="s">
        <v>152</v>
      </c>
    </row>
    <row r="49" spans="1:23" ht="15">
      <c r="A49" s="64" t="s">
        <v>253</v>
      </c>
      <c r="B49" s="582">
        <v>121</v>
      </c>
      <c r="C49" s="582">
        <v>98</v>
      </c>
      <c r="D49" s="582">
        <v>100</v>
      </c>
      <c r="E49" s="582">
        <v>110</v>
      </c>
      <c r="F49" s="582">
        <v>120</v>
      </c>
      <c r="G49" s="582">
        <v>130</v>
      </c>
      <c r="H49" s="582">
        <v>130</v>
      </c>
      <c r="I49" s="548">
        <v>150</v>
      </c>
      <c r="J49" s="49">
        <v>150</v>
      </c>
      <c r="K49" s="49">
        <v>140</v>
      </c>
      <c r="L49" s="135">
        <v>160</v>
      </c>
      <c r="M49" s="135">
        <v>170</v>
      </c>
      <c r="N49" s="135">
        <v>150</v>
      </c>
      <c r="O49" s="135">
        <v>140</v>
      </c>
      <c r="P49" s="44">
        <v>140</v>
      </c>
      <c r="Q49" s="49">
        <v>135</v>
      </c>
      <c r="R49" s="49">
        <v>145.8</v>
      </c>
      <c r="S49" s="49">
        <v>165.81543484384832</v>
      </c>
      <c r="T49" s="49">
        <v>209.8131364734914</v>
      </c>
      <c r="U49" s="49">
        <v>160</v>
      </c>
      <c r="V49" s="164">
        <v>200</v>
      </c>
      <c r="W49" s="150">
        <v>190</v>
      </c>
    </row>
    <row r="50" spans="1:23" ht="15">
      <c r="A50" s="64" t="s">
        <v>137</v>
      </c>
      <c r="B50" s="583">
        <v>315</v>
      </c>
      <c r="C50" s="583">
        <v>298</v>
      </c>
      <c r="D50" s="583">
        <v>270</v>
      </c>
      <c r="E50" s="583">
        <f>SUM(E46:E49)</f>
        <v>290</v>
      </c>
      <c r="F50" s="583">
        <f>SUM(F46:F49)</f>
        <v>290</v>
      </c>
      <c r="G50" s="583">
        <v>300</v>
      </c>
      <c r="H50" s="583">
        <v>300</v>
      </c>
      <c r="I50" s="583">
        <f>SUM(I46:I49)</f>
        <v>310</v>
      </c>
      <c r="J50" s="49">
        <v>260</v>
      </c>
      <c r="K50" s="49">
        <v>240</v>
      </c>
      <c r="L50" s="135">
        <v>280</v>
      </c>
      <c r="M50" s="135">
        <v>280</v>
      </c>
      <c r="N50" s="135">
        <v>240</v>
      </c>
      <c r="O50" s="135">
        <v>240</v>
      </c>
      <c r="P50" s="44">
        <v>240</v>
      </c>
      <c r="Q50" s="49">
        <v>251</v>
      </c>
      <c r="R50" s="49">
        <v>249.4</v>
      </c>
      <c r="S50" s="49">
        <v>267.95792638442</v>
      </c>
      <c r="T50" s="49">
        <v>311.98284187232485</v>
      </c>
      <c r="U50" s="49">
        <v>244</v>
      </c>
      <c r="V50" s="164">
        <v>280</v>
      </c>
      <c r="W50" s="150">
        <v>270</v>
      </c>
    </row>
    <row r="51" spans="1:22" ht="15">
      <c r="A51" s="64"/>
      <c r="B51" s="580" t="s">
        <v>292</v>
      </c>
      <c r="C51" s="580" t="s">
        <v>292</v>
      </c>
      <c r="D51" s="580" t="s">
        <v>292</v>
      </c>
      <c r="E51" s="580" t="s">
        <v>292</v>
      </c>
      <c r="F51" s="580" t="s">
        <v>292</v>
      </c>
      <c r="G51" s="580" t="s">
        <v>292</v>
      </c>
      <c r="H51" s="580" t="s">
        <v>292</v>
      </c>
      <c r="I51" s="580" t="s">
        <v>292</v>
      </c>
      <c r="J51" s="49"/>
      <c r="K51" s="49"/>
      <c r="L51" s="49"/>
      <c r="M51" s="135"/>
      <c r="N51" s="135"/>
      <c r="O51" s="135"/>
      <c r="P51" s="135"/>
      <c r="R51" s="49"/>
      <c r="S51" s="49"/>
      <c r="T51" s="49"/>
      <c r="U51" s="49"/>
      <c r="V51" s="49"/>
    </row>
    <row r="52" spans="1:23" ht="18">
      <c r="A52" s="64" t="s">
        <v>621</v>
      </c>
      <c r="B52" s="61">
        <f aca="true" t="shared" si="9" ref="B52:J52">B38+B43+B50</f>
        <v>20085</v>
      </c>
      <c r="C52" s="61">
        <f t="shared" si="9"/>
        <v>23758</v>
      </c>
      <c r="D52" s="61">
        <f t="shared" si="9"/>
        <v>21830</v>
      </c>
      <c r="E52" s="61">
        <f t="shared" si="9"/>
        <v>20620</v>
      </c>
      <c r="F52" s="61">
        <f t="shared" si="9"/>
        <v>20550</v>
      </c>
      <c r="G52" s="61">
        <f t="shared" si="9"/>
        <v>25930</v>
      </c>
      <c r="H52" s="61">
        <f t="shared" si="9"/>
        <v>30160</v>
      </c>
      <c r="I52" s="61">
        <f t="shared" si="9"/>
        <v>27200</v>
      </c>
      <c r="J52" s="61">
        <f t="shared" si="9"/>
        <v>30400</v>
      </c>
      <c r="K52" s="61">
        <f>K38+K43+K50</f>
        <v>27690</v>
      </c>
      <c r="L52" s="61">
        <f aca="true" t="shared" si="10" ref="L52:R52">L38+L43+L50</f>
        <v>21920</v>
      </c>
      <c r="M52" s="61">
        <f t="shared" si="10"/>
        <v>17780</v>
      </c>
      <c r="N52" s="148">
        <f t="shared" si="10"/>
        <v>16590</v>
      </c>
      <c r="O52" s="148">
        <f t="shared" si="10"/>
        <v>16630</v>
      </c>
      <c r="P52" s="148">
        <f t="shared" si="10"/>
        <v>15570</v>
      </c>
      <c r="Q52" s="148">
        <f t="shared" si="10"/>
        <v>19470.422233659916</v>
      </c>
      <c r="R52" s="148">
        <f t="shared" si="10"/>
        <v>16222.315928887554</v>
      </c>
      <c r="S52" s="148">
        <f>S38+S43+S50</f>
        <v>19008.51855483225</v>
      </c>
      <c r="T52" s="148">
        <f>T38+T43+T50</f>
        <v>19947.693727485846</v>
      </c>
      <c r="U52" s="549">
        <v>17852</v>
      </c>
      <c r="V52" s="148">
        <f>V38+V43+V50</f>
        <v>15722.149736055053</v>
      </c>
      <c r="W52" s="148">
        <f>W38+W43+W50</f>
        <v>15471</v>
      </c>
    </row>
    <row r="53" spans="1:22" ht="15">
      <c r="A53" s="64"/>
      <c r="B53" s="58"/>
      <c r="C53" s="58"/>
      <c r="D53" s="58"/>
      <c r="E53" s="58"/>
      <c r="F53" s="58"/>
      <c r="G53" s="58"/>
      <c r="H53" s="58"/>
      <c r="I53" s="58"/>
      <c r="J53" s="47"/>
      <c r="K53" s="567"/>
      <c r="L53" s="58"/>
      <c r="M53" s="47"/>
      <c r="O53" s="108"/>
      <c r="P53" s="108"/>
      <c r="Q53" s="108"/>
      <c r="R53" s="108"/>
      <c r="S53" s="44"/>
      <c r="T53" s="47"/>
      <c r="U53" s="47"/>
      <c r="V53" s="49"/>
    </row>
    <row r="54" spans="1:23" ht="18">
      <c r="A54" s="64" t="s">
        <v>622</v>
      </c>
      <c r="B54" s="59" t="s">
        <v>189</v>
      </c>
      <c r="C54" s="59" t="s">
        <v>189</v>
      </c>
      <c r="D54" s="59" t="s">
        <v>189</v>
      </c>
      <c r="E54" s="59" t="s">
        <v>189</v>
      </c>
      <c r="F54" s="59" t="s">
        <v>189</v>
      </c>
      <c r="G54" s="59" t="s">
        <v>189</v>
      </c>
      <c r="H54" s="59" t="s">
        <v>189</v>
      </c>
      <c r="I54" s="59" t="s">
        <v>189</v>
      </c>
      <c r="J54" s="53" t="s">
        <v>189</v>
      </c>
      <c r="K54" s="53" t="s">
        <v>189</v>
      </c>
      <c r="L54" s="59" t="s">
        <v>189</v>
      </c>
      <c r="M54" s="53" t="s">
        <v>189</v>
      </c>
      <c r="N54" s="53" t="s">
        <v>189</v>
      </c>
      <c r="O54" s="137" t="s">
        <v>189</v>
      </c>
      <c r="P54" s="137" t="s">
        <v>189</v>
      </c>
      <c r="Q54" s="137" t="s">
        <v>189</v>
      </c>
      <c r="R54" s="137" t="s">
        <v>189</v>
      </c>
      <c r="S54" s="137" t="s">
        <v>189</v>
      </c>
      <c r="T54" s="137" t="s">
        <v>189</v>
      </c>
      <c r="U54" s="137" t="s">
        <v>189</v>
      </c>
      <c r="V54" s="137" t="s">
        <v>189</v>
      </c>
      <c r="W54" s="137" t="s">
        <v>189</v>
      </c>
    </row>
    <row r="55" spans="1:23" ht="24.75" customHeight="1">
      <c r="A55" s="257" t="s">
        <v>623</v>
      </c>
      <c r="B55" s="258" t="s">
        <v>189</v>
      </c>
      <c r="C55" s="258" t="s">
        <v>189</v>
      </c>
      <c r="D55" s="258" t="s">
        <v>189</v>
      </c>
      <c r="E55" s="258" t="s">
        <v>189</v>
      </c>
      <c r="F55" s="258" t="s">
        <v>189</v>
      </c>
      <c r="G55" s="258" t="s">
        <v>189</v>
      </c>
      <c r="H55" s="258" t="s">
        <v>189</v>
      </c>
      <c r="I55" s="258" t="s">
        <v>189</v>
      </c>
      <c r="J55" s="259" t="s">
        <v>189</v>
      </c>
      <c r="K55" s="259" t="s">
        <v>189</v>
      </c>
      <c r="L55" s="258" t="s">
        <v>189</v>
      </c>
      <c r="M55" s="259" t="s">
        <v>189</v>
      </c>
      <c r="N55" s="259" t="s">
        <v>189</v>
      </c>
      <c r="O55" s="260" t="s">
        <v>189</v>
      </c>
      <c r="P55" s="260" t="s">
        <v>189</v>
      </c>
      <c r="Q55" s="260" t="s">
        <v>189</v>
      </c>
      <c r="R55" s="260" t="s">
        <v>189</v>
      </c>
      <c r="S55" s="260" t="s">
        <v>189</v>
      </c>
      <c r="T55" s="260" t="s">
        <v>189</v>
      </c>
      <c r="U55" s="260" t="s">
        <v>189</v>
      </c>
      <c r="V55" s="260" t="s">
        <v>189</v>
      </c>
      <c r="W55" s="260" t="s">
        <v>189</v>
      </c>
    </row>
    <row r="56" spans="1:21" s="56" customFormat="1" ht="12.75">
      <c r="A56" s="104" t="s">
        <v>20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261"/>
      <c r="M56" s="261"/>
      <c r="N56" s="261"/>
      <c r="O56" s="261"/>
      <c r="S56" s="244"/>
      <c r="T56" s="244"/>
      <c r="U56" s="244"/>
    </row>
    <row r="57" spans="1:21" s="56" customFormat="1" ht="12.75">
      <c r="A57" s="104" t="s">
        <v>21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261"/>
      <c r="M57" s="261"/>
      <c r="N57" s="261"/>
      <c r="O57" s="261"/>
      <c r="S57" s="244"/>
      <c r="T57" s="244"/>
      <c r="U57" s="244"/>
    </row>
    <row r="58" spans="1:21" s="56" customFormat="1" ht="12.75">
      <c r="A58" s="104" t="s">
        <v>22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261"/>
      <c r="M58" s="261"/>
      <c r="N58" s="261"/>
      <c r="O58" s="261"/>
      <c r="S58" s="244"/>
      <c r="T58" s="244"/>
      <c r="U58" s="244"/>
    </row>
    <row r="59" spans="1:21" s="56" customFormat="1" ht="12.75">
      <c r="A59" s="552" t="s">
        <v>23</v>
      </c>
      <c r="B59" s="552"/>
      <c r="C59" s="552"/>
      <c r="D59" s="552"/>
      <c r="E59" s="552"/>
      <c r="F59" s="552"/>
      <c r="G59" s="552"/>
      <c r="H59" s="552"/>
      <c r="I59" s="552"/>
      <c r="J59" s="552"/>
      <c r="K59" s="552"/>
      <c r="L59" s="261"/>
      <c r="M59" s="261"/>
      <c r="N59" s="261"/>
      <c r="O59" s="261"/>
      <c r="S59" s="244"/>
      <c r="T59" s="244"/>
      <c r="U59" s="244"/>
    </row>
    <row r="60" spans="1:21" s="56" customFormat="1" ht="3" customHeight="1">
      <c r="A60" s="552"/>
      <c r="B60" s="552"/>
      <c r="C60" s="552"/>
      <c r="D60" s="552"/>
      <c r="E60" s="552"/>
      <c r="F60" s="552"/>
      <c r="G60" s="552"/>
      <c r="H60" s="552"/>
      <c r="I60" s="552"/>
      <c r="J60" s="552"/>
      <c r="K60" s="552"/>
      <c r="L60" s="261"/>
      <c r="M60" s="261"/>
      <c r="N60" s="261"/>
      <c r="O60" s="261"/>
      <c r="S60" s="244"/>
      <c r="T60" s="244"/>
      <c r="U60" s="244"/>
    </row>
    <row r="61" spans="1:21" s="56" customFormat="1" ht="12.75">
      <c r="A61" s="262" t="s">
        <v>29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3"/>
      <c r="M61" s="263"/>
      <c r="N61" s="263"/>
      <c r="O61" s="263"/>
      <c r="P61" s="244"/>
      <c r="Q61" s="244"/>
      <c r="R61" s="244"/>
      <c r="S61" s="244"/>
      <c r="T61" s="244"/>
      <c r="U61" s="244"/>
    </row>
    <row r="62" spans="1:21" s="56" customFormat="1" ht="4.5" customHeight="1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3"/>
      <c r="M62" s="263"/>
      <c r="N62" s="263"/>
      <c r="O62" s="263"/>
      <c r="P62" s="244"/>
      <c r="Q62" s="244"/>
      <c r="R62" s="244"/>
      <c r="S62" s="244"/>
      <c r="T62" s="244"/>
      <c r="U62" s="244"/>
    </row>
    <row r="63" spans="1:21" s="56" customFormat="1" ht="12.75">
      <c r="A63" s="104" t="s">
        <v>24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261"/>
      <c r="M63" s="261"/>
      <c r="N63" s="261"/>
      <c r="O63" s="261"/>
      <c r="S63" s="244"/>
      <c r="T63" s="244"/>
      <c r="U63" s="244"/>
    </row>
    <row r="64" spans="1:21" s="56" customFormat="1" ht="12.75">
      <c r="A64" s="552" t="s">
        <v>23</v>
      </c>
      <c r="B64" s="552"/>
      <c r="C64" s="552"/>
      <c r="D64" s="552"/>
      <c r="E64" s="552"/>
      <c r="F64" s="552"/>
      <c r="G64" s="552"/>
      <c r="H64" s="552"/>
      <c r="I64" s="552"/>
      <c r="J64" s="552"/>
      <c r="K64" s="552"/>
      <c r="L64" s="261"/>
      <c r="M64" s="261"/>
      <c r="N64" s="261"/>
      <c r="O64" s="261"/>
      <c r="S64" s="244"/>
      <c r="T64" s="244"/>
      <c r="U64" s="244"/>
    </row>
    <row r="65" spans="1:21" s="56" customFormat="1" ht="3.75" customHeight="1">
      <c r="A65" s="552"/>
      <c r="B65" s="552"/>
      <c r="C65" s="552"/>
      <c r="D65" s="552"/>
      <c r="E65" s="552"/>
      <c r="F65" s="552"/>
      <c r="G65" s="552"/>
      <c r="H65" s="552"/>
      <c r="I65" s="552"/>
      <c r="J65" s="552"/>
      <c r="K65" s="552"/>
      <c r="L65" s="261"/>
      <c r="M65" s="261"/>
      <c r="N65" s="261"/>
      <c r="O65" s="261"/>
      <c r="S65" s="244"/>
      <c r="T65" s="244"/>
      <c r="U65" s="244"/>
    </row>
    <row r="66" spans="1:21" s="56" customFormat="1" ht="12.75">
      <c r="A66" s="104" t="s">
        <v>752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261"/>
      <c r="M66" s="261"/>
      <c r="N66" s="261"/>
      <c r="O66" s="261"/>
      <c r="S66" s="244"/>
      <c r="T66" s="244"/>
      <c r="U66" s="244"/>
    </row>
    <row r="67" spans="1:21" s="56" customFormat="1" ht="12.75">
      <c r="A67" s="551" t="s">
        <v>26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261"/>
      <c r="M67" s="261"/>
      <c r="N67" s="261"/>
      <c r="O67" s="261"/>
      <c r="S67" s="244"/>
      <c r="T67" s="244"/>
      <c r="U67" s="244"/>
    </row>
    <row r="68" spans="1:21" s="56" customFormat="1" ht="4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261"/>
      <c r="M68" s="261"/>
      <c r="N68" s="261"/>
      <c r="O68" s="261"/>
      <c r="S68" s="244"/>
      <c r="T68" s="244"/>
      <c r="U68" s="244"/>
    </row>
    <row r="69" spans="1:21" s="56" customFormat="1" ht="12.75">
      <c r="A69" s="104" t="s">
        <v>303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261"/>
      <c r="M69" s="261"/>
      <c r="N69" s="261"/>
      <c r="O69" s="261"/>
      <c r="S69" s="244"/>
      <c r="T69" s="244"/>
      <c r="U69" s="244"/>
    </row>
  </sheetData>
  <sheetProtection/>
  <printOptions/>
  <pageMargins left="0.75" right="0.71" top="0.89" bottom="0.64" header="0.5" footer="0.5"/>
  <pageSetup fitToHeight="1" fitToWidth="1" horizontalDpi="96" verticalDpi="96" orientation="portrait" paperSize="9" scale="65" r:id="rId1"/>
  <headerFooter alignWithMargins="0">
    <oddHeader>&amp;R&amp;"Arial,Bold"&amp;16WATER TRANSPORT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3.7109375" style="25" customWidth="1"/>
    <col min="2" max="9" width="8.8515625" style="25" hidden="1" customWidth="1"/>
    <col min="10" max="10" width="7.57421875" style="25" hidden="1" customWidth="1"/>
    <col min="11" max="20" width="7.57421875" style="25" customWidth="1"/>
    <col min="21" max="16384" width="9.140625" style="25" customWidth="1"/>
  </cols>
  <sheetData>
    <row r="1" spans="1:14" ht="16.5">
      <c r="A1" s="533" t="s">
        <v>739</v>
      </c>
      <c r="B1" s="533"/>
      <c r="C1" s="533"/>
      <c r="D1" s="533"/>
      <c r="E1" s="533"/>
      <c r="F1" s="533"/>
      <c r="G1" s="533"/>
      <c r="H1" s="533"/>
      <c r="I1" s="533"/>
      <c r="J1" s="33"/>
      <c r="K1" s="33"/>
      <c r="L1" s="33"/>
      <c r="M1" s="33"/>
      <c r="N1" s="33"/>
    </row>
    <row r="2" spans="1:14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1" ht="19.5" customHeight="1">
      <c r="A3" s="451" t="s">
        <v>211</v>
      </c>
      <c r="B3" s="452">
        <v>1992</v>
      </c>
      <c r="C3" s="452">
        <v>1993</v>
      </c>
      <c r="D3" s="452">
        <v>1994</v>
      </c>
      <c r="E3" s="452">
        <v>1995</v>
      </c>
      <c r="F3" s="452">
        <v>1996</v>
      </c>
      <c r="G3" s="452">
        <v>1997</v>
      </c>
      <c r="H3" s="452">
        <v>1998</v>
      </c>
      <c r="I3" s="452">
        <v>1999</v>
      </c>
      <c r="J3" s="452">
        <v>2000</v>
      </c>
      <c r="K3" s="452">
        <v>2001</v>
      </c>
      <c r="L3" s="452">
        <v>2002</v>
      </c>
      <c r="M3" s="452">
        <v>2003</v>
      </c>
      <c r="N3" s="452">
        <v>2004</v>
      </c>
      <c r="O3" s="452">
        <v>2005</v>
      </c>
      <c r="P3" s="452">
        <v>2006</v>
      </c>
      <c r="Q3" s="452">
        <v>2007</v>
      </c>
      <c r="R3" s="452">
        <v>2008</v>
      </c>
      <c r="S3" s="452">
        <v>2009</v>
      </c>
      <c r="T3" s="452">
        <v>2010</v>
      </c>
      <c r="U3" s="452">
        <v>2011</v>
      </c>
    </row>
    <row r="5" spans="1:21" ht="19.5" customHeight="1">
      <c r="A5" s="92" t="s">
        <v>564</v>
      </c>
      <c r="B5" s="92"/>
      <c r="C5" s="92"/>
      <c r="D5" s="92"/>
      <c r="E5" s="92"/>
      <c r="F5" s="92"/>
      <c r="G5" s="92"/>
      <c r="H5" s="92"/>
      <c r="I5" s="92"/>
      <c r="M5" s="181"/>
      <c r="N5" s="181"/>
      <c r="O5" s="181"/>
      <c r="Q5" s="16"/>
      <c r="R5" s="16"/>
      <c r="S5" s="16"/>
      <c r="T5" s="16"/>
      <c r="U5" s="16" t="s">
        <v>186</v>
      </c>
    </row>
    <row r="6" spans="1:10" ht="8.25" customHeight="1">
      <c r="A6" s="92"/>
      <c r="B6" s="92"/>
      <c r="C6" s="92"/>
      <c r="D6" s="92"/>
      <c r="E6" s="92"/>
      <c r="F6" s="92"/>
      <c r="G6" s="92"/>
      <c r="H6" s="92"/>
      <c r="I6" s="92"/>
      <c r="J6" s="91"/>
    </row>
    <row r="7" spans="1:10" ht="18.75">
      <c r="A7" s="37" t="s">
        <v>115</v>
      </c>
      <c r="B7" s="37"/>
      <c r="C7" s="37"/>
      <c r="D7" s="37"/>
      <c r="E7" s="37"/>
      <c r="F7" s="37"/>
      <c r="G7" s="37"/>
      <c r="H7" s="37"/>
      <c r="I7" s="37"/>
      <c r="J7" s="181"/>
    </row>
    <row r="8" spans="1:21" ht="15">
      <c r="A8" s="33" t="s">
        <v>291</v>
      </c>
      <c r="B8" s="38">
        <v>6.2</v>
      </c>
      <c r="C8" s="38">
        <v>5</v>
      </c>
      <c r="D8" s="38">
        <v>4.8</v>
      </c>
      <c r="E8" s="38">
        <v>3.2</v>
      </c>
      <c r="F8" s="38">
        <v>3.6</v>
      </c>
      <c r="G8" s="38">
        <v>2.7</v>
      </c>
      <c r="H8" s="38">
        <v>2.4</v>
      </c>
      <c r="I8" s="25">
        <v>2.6</v>
      </c>
      <c r="J8" s="25">
        <v>2.5</v>
      </c>
      <c r="K8" s="25">
        <v>2.8</v>
      </c>
      <c r="L8" s="75">
        <v>2.7</v>
      </c>
      <c r="M8" s="75">
        <v>2.7</v>
      </c>
      <c r="N8" s="142">
        <v>3.2</v>
      </c>
      <c r="O8" s="142">
        <v>2.916</v>
      </c>
      <c r="P8" s="142">
        <v>2.8</v>
      </c>
      <c r="Q8" s="142">
        <v>2.7</v>
      </c>
      <c r="R8" s="142">
        <v>4.9</v>
      </c>
      <c r="S8" s="142">
        <v>5.268</v>
      </c>
      <c r="T8" s="142">
        <v>5.4</v>
      </c>
      <c r="U8" s="142">
        <v>5.96</v>
      </c>
    </row>
    <row r="9" spans="1:21" ht="15">
      <c r="A9" s="33" t="s">
        <v>236</v>
      </c>
      <c r="B9" s="42">
        <v>4.1</v>
      </c>
      <c r="C9" s="42">
        <v>4.7</v>
      </c>
      <c r="D9" s="42">
        <v>5.3</v>
      </c>
      <c r="E9" s="42">
        <v>4.9</v>
      </c>
      <c r="F9" s="42">
        <v>4.1</v>
      </c>
      <c r="G9" s="42">
        <v>4.5</v>
      </c>
      <c r="H9" s="42">
        <v>4.3</v>
      </c>
      <c r="I9" s="25">
        <v>4.3</v>
      </c>
      <c r="J9" s="25">
        <v>4.3</v>
      </c>
      <c r="K9" s="25">
        <v>4.3</v>
      </c>
      <c r="L9" s="75">
        <v>4.5</v>
      </c>
      <c r="M9" s="75">
        <v>5.5</v>
      </c>
      <c r="N9" s="142">
        <v>5.7</v>
      </c>
      <c r="O9" s="142">
        <v>5.352</v>
      </c>
      <c r="P9" s="142">
        <v>5.4</v>
      </c>
      <c r="Q9" s="142">
        <v>6.1</v>
      </c>
      <c r="R9" s="142">
        <v>4.7</v>
      </c>
      <c r="S9" s="142">
        <v>6.73</v>
      </c>
      <c r="T9" s="142">
        <v>6.7</v>
      </c>
      <c r="U9" s="142">
        <v>6.8</v>
      </c>
    </row>
    <row r="10" spans="1:21" ht="15">
      <c r="A10" s="33" t="s">
        <v>237</v>
      </c>
      <c r="B10" s="38">
        <v>3.7</v>
      </c>
      <c r="C10" s="38">
        <v>4</v>
      </c>
      <c r="D10" s="38">
        <v>3.6</v>
      </c>
      <c r="E10" s="38">
        <v>4.1</v>
      </c>
      <c r="F10" s="38">
        <v>3.8</v>
      </c>
      <c r="G10" s="38">
        <v>3.4</v>
      </c>
      <c r="H10" s="38">
        <v>3.3</v>
      </c>
      <c r="I10" s="25">
        <v>2.7</v>
      </c>
      <c r="J10" s="25">
        <v>2.3</v>
      </c>
      <c r="K10" s="25">
        <v>2.6</v>
      </c>
      <c r="L10" s="75">
        <v>2.1</v>
      </c>
      <c r="M10" s="75">
        <v>2.9</v>
      </c>
      <c r="N10" s="142">
        <v>3.3</v>
      </c>
      <c r="O10" s="142">
        <v>3.284</v>
      </c>
      <c r="P10" s="142">
        <v>3.1</v>
      </c>
      <c r="Q10" s="142">
        <v>3</v>
      </c>
      <c r="R10" s="142">
        <v>3.6</v>
      </c>
      <c r="S10" s="142">
        <v>4.654</v>
      </c>
      <c r="T10" s="142">
        <v>4.7</v>
      </c>
      <c r="U10" s="142">
        <v>4.87</v>
      </c>
    </row>
    <row r="11" spans="1:21" ht="15">
      <c r="A11" s="33" t="s">
        <v>238</v>
      </c>
      <c r="B11" s="638">
        <v>0</v>
      </c>
      <c r="C11" s="38">
        <v>7.6</v>
      </c>
      <c r="D11" s="38">
        <v>8.4</v>
      </c>
      <c r="E11" s="38">
        <v>7.3</v>
      </c>
      <c r="F11" s="38">
        <v>7.9</v>
      </c>
      <c r="G11" s="38">
        <v>7.9</v>
      </c>
      <c r="H11" s="38">
        <v>9.9</v>
      </c>
      <c r="I11" s="25">
        <v>10.2</v>
      </c>
      <c r="J11" s="25">
        <v>9.9</v>
      </c>
      <c r="K11" s="25">
        <v>10.3</v>
      </c>
      <c r="L11" s="75">
        <v>9.3</v>
      </c>
      <c r="M11" s="75">
        <v>9.1</v>
      </c>
      <c r="N11" s="142">
        <v>10.1</v>
      </c>
      <c r="O11" s="142">
        <v>11.746</v>
      </c>
      <c r="P11" s="142">
        <v>11.8</v>
      </c>
      <c r="Q11" s="142">
        <v>11</v>
      </c>
      <c r="R11" s="142">
        <v>11.7</v>
      </c>
      <c r="S11" s="142">
        <v>12.743</v>
      </c>
      <c r="T11" s="142">
        <v>13.8</v>
      </c>
      <c r="U11" s="142">
        <v>13.53</v>
      </c>
    </row>
    <row r="12" spans="1:21" ht="15.75">
      <c r="A12" s="37" t="s">
        <v>141</v>
      </c>
      <c r="B12" s="646">
        <f aca="true" t="shared" si="0" ref="B12:U12">SUM(B8:B11)</f>
        <v>14</v>
      </c>
      <c r="C12" s="646">
        <f t="shared" si="0"/>
        <v>21.299999999999997</v>
      </c>
      <c r="D12" s="646">
        <f t="shared" si="0"/>
        <v>22.1</v>
      </c>
      <c r="E12" s="646">
        <f t="shared" si="0"/>
        <v>19.5</v>
      </c>
      <c r="F12" s="646">
        <f t="shared" si="0"/>
        <v>19.4</v>
      </c>
      <c r="G12" s="646">
        <f t="shared" si="0"/>
        <v>18.5</v>
      </c>
      <c r="H12" s="646">
        <f t="shared" si="0"/>
        <v>19.9</v>
      </c>
      <c r="I12" s="646">
        <f t="shared" si="0"/>
        <v>19.8</v>
      </c>
      <c r="J12" s="646">
        <f t="shared" si="0"/>
        <v>19</v>
      </c>
      <c r="K12" s="646">
        <f t="shared" si="0"/>
        <v>20</v>
      </c>
      <c r="L12" s="646">
        <f t="shared" si="0"/>
        <v>18.6</v>
      </c>
      <c r="M12" s="646">
        <f t="shared" si="0"/>
        <v>20.2</v>
      </c>
      <c r="N12" s="646">
        <f t="shared" si="0"/>
        <v>22.299999999999997</v>
      </c>
      <c r="O12" s="646">
        <f t="shared" si="0"/>
        <v>23.298000000000002</v>
      </c>
      <c r="P12" s="646">
        <f t="shared" si="0"/>
        <v>23.1</v>
      </c>
      <c r="Q12" s="646">
        <f t="shared" si="0"/>
        <v>22.8</v>
      </c>
      <c r="R12" s="646">
        <f t="shared" si="0"/>
        <v>24.9</v>
      </c>
      <c r="S12" s="646">
        <f t="shared" si="0"/>
        <v>29.395000000000003</v>
      </c>
      <c r="T12" s="646">
        <f t="shared" si="0"/>
        <v>30.6</v>
      </c>
      <c r="U12" s="646">
        <f t="shared" si="0"/>
        <v>31.159999999999997</v>
      </c>
    </row>
    <row r="13" spans="1:21" ht="8.25" customHeight="1">
      <c r="A13" s="450"/>
      <c r="B13" s="38"/>
      <c r="C13" s="38"/>
      <c r="D13" s="38"/>
      <c r="E13" s="38"/>
      <c r="F13" s="38"/>
      <c r="G13" s="38"/>
      <c r="H13" s="38"/>
      <c r="I13" s="5"/>
      <c r="O13" s="36"/>
      <c r="P13" s="36"/>
      <c r="Q13" s="142" t="s">
        <v>292</v>
      </c>
      <c r="R13" s="142" t="s">
        <v>292</v>
      </c>
      <c r="S13" s="142" t="s">
        <v>292</v>
      </c>
      <c r="T13" s="142" t="s">
        <v>292</v>
      </c>
      <c r="U13" s="142" t="s">
        <v>292</v>
      </c>
    </row>
    <row r="14" spans="1:21" ht="14.25" customHeight="1">
      <c r="A14" s="308" t="s">
        <v>308</v>
      </c>
      <c r="B14" s="38"/>
      <c r="C14" s="38"/>
      <c r="D14" s="38"/>
      <c r="E14" s="38"/>
      <c r="F14" s="38"/>
      <c r="G14" s="38"/>
      <c r="H14" s="38"/>
      <c r="I14" s="5"/>
      <c r="O14" s="36"/>
      <c r="P14" s="36"/>
      <c r="Q14" s="142" t="s">
        <v>292</v>
      </c>
      <c r="R14" s="142" t="s">
        <v>292</v>
      </c>
      <c r="S14" s="142" t="s">
        <v>292</v>
      </c>
      <c r="T14" s="142" t="s">
        <v>292</v>
      </c>
      <c r="U14" s="142" t="s">
        <v>292</v>
      </c>
    </row>
    <row r="15" spans="1:21" ht="15" customHeight="1">
      <c r="A15" s="334" t="s">
        <v>116</v>
      </c>
      <c r="B15" s="38">
        <v>2.9</v>
      </c>
      <c r="C15" s="38">
        <v>4.1</v>
      </c>
      <c r="D15" s="38">
        <v>4.3</v>
      </c>
      <c r="E15" s="38">
        <v>4.3</v>
      </c>
      <c r="F15" s="38">
        <v>4.4</v>
      </c>
      <c r="G15" s="38">
        <v>4.7</v>
      </c>
      <c r="H15" s="38">
        <v>5.4</v>
      </c>
      <c r="I15" s="36">
        <v>5.1</v>
      </c>
      <c r="J15" s="36">
        <v>4</v>
      </c>
      <c r="K15" s="36">
        <v>1.03</v>
      </c>
      <c r="L15" s="638">
        <v>0</v>
      </c>
      <c r="M15" s="638">
        <v>0</v>
      </c>
      <c r="N15" s="638">
        <v>0</v>
      </c>
      <c r="O15" s="638">
        <v>0</v>
      </c>
      <c r="P15" s="638">
        <v>0</v>
      </c>
      <c r="Q15" s="638">
        <v>0</v>
      </c>
      <c r="R15" s="638">
        <v>0</v>
      </c>
      <c r="S15" s="638">
        <v>0</v>
      </c>
      <c r="T15" s="638">
        <v>0</v>
      </c>
      <c r="U15" s="638">
        <v>0</v>
      </c>
    </row>
    <row r="16" spans="1:21" ht="8.25" customHeight="1">
      <c r="A16" s="450"/>
      <c r="B16" s="38"/>
      <c r="C16" s="38"/>
      <c r="D16" s="38"/>
      <c r="E16" s="38"/>
      <c r="F16" s="38"/>
      <c r="G16" s="38"/>
      <c r="H16" s="38"/>
      <c r="I16" s="5"/>
      <c r="N16" s="36"/>
      <c r="O16" s="36"/>
      <c r="P16" s="142" t="s">
        <v>292</v>
      </c>
      <c r="Q16" s="142" t="s">
        <v>292</v>
      </c>
      <c r="R16" s="142" t="s">
        <v>292</v>
      </c>
      <c r="S16" s="142" t="s">
        <v>292</v>
      </c>
      <c r="T16" s="142" t="s">
        <v>292</v>
      </c>
      <c r="U16" s="142" t="s">
        <v>292</v>
      </c>
    </row>
    <row r="17" spans="1:21" ht="15.75">
      <c r="A17" s="37" t="s">
        <v>239</v>
      </c>
      <c r="B17" s="38"/>
      <c r="C17" s="38"/>
      <c r="D17" s="38"/>
      <c r="E17" s="38"/>
      <c r="F17" s="38"/>
      <c r="G17" s="38"/>
      <c r="H17" s="38"/>
      <c r="I17" s="5"/>
      <c r="N17" s="36"/>
      <c r="O17" s="36"/>
      <c r="P17" s="142" t="s">
        <v>292</v>
      </c>
      <c r="Q17" s="142" t="s">
        <v>292</v>
      </c>
      <c r="R17" s="142" t="s">
        <v>292</v>
      </c>
      <c r="S17" s="142" t="s">
        <v>292</v>
      </c>
      <c r="T17" s="142" t="s">
        <v>292</v>
      </c>
      <c r="U17" s="142" t="s">
        <v>292</v>
      </c>
    </row>
    <row r="18" spans="1:21" ht="18">
      <c r="A18" s="33" t="s">
        <v>263</v>
      </c>
      <c r="B18" s="38">
        <v>12.1</v>
      </c>
      <c r="C18" s="38">
        <v>12.7</v>
      </c>
      <c r="D18" s="38">
        <v>11.6</v>
      </c>
      <c r="E18" s="38">
        <v>11.9</v>
      </c>
      <c r="F18" s="38">
        <v>11.7</v>
      </c>
      <c r="G18" s="25">
        <v>12.9</v>
      </c>
      <c r="H18" s="38">
        <v>12.7</v>
      </c>
      <c r="I18" s="25">
        <v>13.2</v>
      </c>
      <c r="J18" s="25">
        <v>11.8</v>
      </c>
      <c r="K18" s="220">
        <v>10.9</v>
      </c>
      <c r="L18" s="221" t="s">
        <v>336</v>
      </c>
      <c r="M18" s="164" t="s">
        <v>421</v>
      </c>
      <c r="N18" s="192">
        <v>32.8</v>
      </c>
      <c r="O18" s="192">
        <v>35.3</v>
      </c>
      <c r="P18" s="142">
        <v>33.7</v>
      </c>
      <c r="Q18" s="142">
        <v>33</v>
      </c>
      <c r="R18" s="142">
        <v>32.2</v>
      </c>
      <c r="S18" s="142">
        <v>33.8</v>
      </c>
      <c r="T18" s="142">
        <v>33</v>
      </c>
      <c r="U18" s="142">
        <v>37.9</v>
      </c>
    </row>
    <row r="19" spans="1:21" ht="8.25" customHeight="1">
      <c r="A19" s="33"/>
      <c r="B19" s="38"/>
      <c r="C19" s="38"/>
      <c r="D19" s="38"/>
      <c r="E19" s="38"/>
      <c r="F19" s="38"/>
      <c r="G19" s="38"/>
      <c r="I19"/>
      <c r="N19" s="36"/>
      <c r="O19" s="36"/>
      <c r="P19" s="142" t="s">
        <v>292</v>
      </c>
      <c r="Q19" s="142" t="s">
        <v>292</v>
      </c>
      <c r="R19" s="142" t="s">
        <v>292</v>
      </c>
      <c r="S19" s="142" t="s">
        <v>292</v>
      </c>
      <c r="T19" s="142" t="s">
        <v>292</v>
      </c>
      <c r="U19" s="142" t="s">
        <v>292</v>
      </c>
    </row>
    <row r="20" spans="1:21" ht="18.75">
      <c r="A20" s="37" t="s">
        <v>117</v>
      </c>
      <c r="B20" s="39"/>
      <c r="C20" s="39"/>
      <c r="D20" s="39"/>
      <c r="E20" s="39"/>
      <c r="F20" s="39"/>
      <c r="G20" s="39"/>
      <c r="H20"/>
      <c r="I20"/>
      <c r="N20" s="36"/>
      <c r="O20" s="36"/>
      <c r="P20" s="142" t="s">
        <v>292</v>
      </c>
      <c r="Q20" s="142" t="s">
        <v>292</v>
      </c>
      <c r="R20" s="142" t="s">
        <v>292</v>
      </c>
      <c r="S20" s="142" t="s">
        <v>292</v>
      </c>
      <c r="T20" s="142" t="s">
        <v>292</v>
      </c>
      <c r="U20" s="142" t="s">
        <v>292</v>
      </c>
    </row>
    <row r="21" spans="1:21" ht="15">
      <c r="A21" s="33" t="s">
        <v>279</v>
      </c>
      <c r="B21" s="638">
        <v>0</v>
      </c>
      <c r="C21" s="638">
        <v>0</v>
      </c>
      <c r="D21" s="638">
        <v>0</v>
      </c>
      <c r="E21" s="638">
        <v>0</v>
      </c>
      <c r="F21" s="39">
        <v>3.8</v>
      </c>
      <c r="G21" s="39">
        <v>3.5</v>
      </c>
      <c r="H21" s="39">
        <v>2.3</v>
      </c>
      <c r="I21" s="39">
        <v>2.1</v>
      </c>
      <c r="J21" s="36">
        <v>2.993</v>
      </c>
      <c r="K21" s="36">
        <v>5.654</v>
      </c>
      <c r="L21" s="142">
        <v>4.5</v>
      </c>
      <c r="M21" s="142">
        <v>3.622</v>
      </c>
      <c r="N21" s="142">
        <v>3.802</v>
      </c>
      <c r="O21" s="142">
        <v>3.8</v>
      </c>
      <c r="P21" s="142">
        <v>4.9</v>
      </c>
      <c r="Q21" s="142">
        <v>4.7</v>
      </c>
      <c r="R21" s="142">
        <v>4.6</v>
      </c>
      <c r="S21" s="142">
        <v>2.5</v>
      </c>
      <c r="T21" s="142">
        <v>2.6</v>
      </c>
      <c r="U21" s="142">
        <v>3.2</v>
      </c>
    </row>
    <row r="22" spans="1:21" ht="18">
      <c r="A22" s="33" t="s">
        <v>118</v>
      </c>
      <c r="B22" s="638">
        <v>0</v>
      </c>
      <c r="C22" s="638">
        <v>0</v>
      </c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  <c r="N22" s="73">
        <v>0.5</v>
      </c>
      <c r="O22" s="73">
        <v>1.1</v>
      </c>
      <c r="P22" s="142">
        <v>0.2</v>
      </c>
      <c r="Q22" s="142">
        <v>0.26</v>
      </c>
      <c r="R22" s="142">
        <v>0.3</v>
      </c>
      <c r="S22" s="142">
        <v>0.25</v>
      </c>
      <c r="T22" s="142">
        <v>0.3</v>
      </c>
      <c r="U22" s="142">
        <v>0.3</v>
      </c>
    </row>
    <row r="23" spans="1:21" ht="15.75">
      <c r="A23" s="37" t="s">
        <v>141</v>
      </c>
      <c r="B23" s="645">
        <f aca="true" t="shared" si="1" ref="B23:U23">SUM(B21:B22)</f>
        <v>0</v>
      </c>
      <c r="C23" s="645">
        <f t="shared" si="1"/>
        <v>0</v>
      </c>
      <c r="D23" s="645">
        <f t="shared" si="1"/>
        <v>0</v>
      </c>
      <c r="E23" s="645">
        <f t="shared" si="1"/>
        <v>0</v>
      </c>
      <c r="F23" s="645">
        <f t="shared" si="1"/>
        <v>3.8</v>
      </c>
      <c r="G23" s="645">
        <f t="shared" si="1"/>
        <v>3.5</v>
      </c>
      <c r="H23" s="645">
        <f t="shared" si="1"/>
        <v>2.3</v>
      </c>
      <c r="I23" s="645">
        <f t="shared" si="1"/>
        <v>2.1</v>
      </c>
      <c r="J23" s="645">
        <f t="shared" si="1"/>
        <v>2.993</v>
      </c>
      <c r="K23" s="645">
        <f t="shared" si="1"/>
        <v>5.654</v>
      </c>
      <c r="L23" s="645">
        <f t="shared" si="1"/>
        <v>4.5</v>
      </c>
      <c r="M23" s="645">
        <f t="shared" si="1"/>
        <v>3.622</v>
      </c>
      <c r="N23" s="645">
        <f t="shared" si="1"/>
        <v>4.302</v>
      </c>
      <c r="O23" s="645">
        <f t="shared" si="1"/>
        <v>4.9</v>
      </c>
      <c r="P23" s="645">
        <f t="shared" si="1"/>
        <v>5.1000000000000005</v>
      </c>
      <c r="Q23" s="645">
        <f t="shared" si="1"/>
        <v>4.96</v>
      </c>
      <c r="R23" s="645">
        <f t="shared" si="1"/>
        <v>4.8999999999999995</v>
      </c>
      <c r="S23" s="645">
        <f t="shared" si="1"/>
        <v>2.75</v>
      </c>
      <c r="T23" s="645">
        <f t="shared" si="1"/>
        <v>2.9</v>
      </c>
      <c r="U23" s="645">
        <f t="shared" si="1"/>
        <v>3.5</v>
      </c>
    </row>
    <row r="24" spans="1:21" ht="8.25" customHeight="1">
      <c r="A24" s="33"/>
      <c r="I24"/>
      <c r="N24" s="36"/>
      <c r="O24" s="36"/>
      <c r="P24" s="142" t="s">
        <v>292</v>
      </c>
      <c r="Q24" s="142" t="s">
        <v>292</v>
      </c>
      <c r="R24" s="142" t="s">
        <v>292</v>
      </c>
      <c r="S24" s="142" t="s">
        <v>292</v>
      </c>
      <c r="T24" s="142" t="s">
        <v>292</v>
      </c>
      <c r="U24" s="142" t="s">
        <v>292</v>
      </c>
    </row>
    <row r="25" spans="1:21" ht="15.75">
      <c r="A25" s="37" t="s">
        <v>240</v>
      </c>
      <c r="I25"/>
      <c r="N25" s="36"/>
      <c r="O25" s="36"/>
      <c r="P25" s="142" t="s">
        <v>292</v>
      </c>
      <c r="Q25" s="142" t="s">
        <v>292</v>
      </c>
      <c r="R25" s="142" t="s">
        <v>292</v>
      </c>
      <c r="S25" s="142" t="s">
        <v>292</v>
      </c>
      <c r="T25" s="142" t="s">
        <v>292</v>
      </c>
      <c r="U25" s="142" t="s">
        <v>292</v>
      </c>
    </row>
    <row r="26" spans="1:21" ht="15">
      <c r="A26" s="33" t="s">
        <v>314</v>
      </c>
      <c r="B26" s="38">
        <v>6.3</v>
      </c>
      <c r="C26" s="38">
        <v>7</v>
      </c>
      <c r="D26" s="38">
        <v>7</v>
      </c>
      <c r="E26" s="38">
        <v>7.5</v>
      </c>
      <c r="F26" s="38">
        <v>7.9</v>
      </c>
      <c r="G26" s="38">
        <v>7.8</v>
      </c>
      <c r="H26" s="38">
        <v>7.7</v>
      </c>
      <c r="I26" s="25">
        <v>7.6</v>
      </c>
      <c r="N26" s="36"/>
      <c r="O26" s="36"/>
      <c r="P26" s="142" t="s">
        <v>292</v>
      </c>
      <c r="Q26" s="142" t="s">
        <v>292</v>
      </c>
      <c r="R26" s="142" t="s">
        <v>292</v>
      </c>
      <c r="S26" s="142" t="s">
        <v>292</v>
      </c>
      <c r="T26" s="142" t="s">
        <v>292</v>
      </c>
      <c r="U26" s="142" t="s">
        <v>292</v>
      </c>
    </row>
    <row r="27" spans="1:21" ht="15">
      <c r="A27" s="33" t="s">
        <v>313</v>
      </c>
      <c r="B27" s="638">
        <v>0</v>
      </c>
      <c r="C27" s="638">
        <v>0</v>
      </c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25">
        <v>5.9</v>
      </c>
      <c r="K27" s="25">
        <v>7.6</v>
      </c>
      <c r="L27" s="142">
        <v>8.831</v>
      </c>
      <c r="M27" s="142">
        <v>9.1</v>
      </c>
      <c r="N27" s="39">
        <v>11.316</v>
      </c>
      <c r="O27" s="39">
        <v>10.3</v>
      </c>
      <c r="P27" s="142">
        <v>10</v>
      </c>
      <c r="Q27" s="142">
        <v>9.8</v>
      </c>
      <c r="R27" s="386">
        <v>17.1</v>
      </c>
      <c r="S27" s="386">
        <v>16.9</v>
      </c>
      <c r="T27" s="386">
        <v>14.4</v>
      </c>
      <c r="U27" s="386">
        <v>12.499</v>
      </c>
    </row>
    <row r="28" spans="1:21" ht="15">
      <c r="A28" s="33"/>
      <c r="B28" s="18"/>
      <c r="C28" s="18"/>
      <c r="D28" s="18"/>
      <c r="E28" s="18"/>
      <c r="F28" s="18"/>
      <c r="G28" s="18"/>
      <c r="H28" s="18"/>
      <c r="I28"/>
      <c r="M28" s="142"/>
      <c r="N28" s="142"/>
      <c r="O28" s="142"/>
      <c r="P28" s="142" t="s">
        <v>292</v>
      </c>
      <c r="Q28" s="142" t="s">
        <v>292</v>
      </c>
      <c r="R28" s="142" t="s">
        <v>292</v>
      </c>
      <c r="S28" s="142" t="s">
        <v>292</v>
      </c>
      <c r="T28" s="142"/>
      <c r="U28" s="142"/>
    </row>
    <row r="29" spans="1:21" ht="18.75">
      <c r="A29" s="37" t="s">
        <v>111</v>
      </c>
      <c r="B29" s="74"/>
      <c r="C29" s="74"/>
      <c r="D29" s="74"/>
      <c r="E29" s="41"/>
      <c r="F29" s="41"/>
      <c r="G29" s="41"/>
      <c r="H29" s="41"/>
      <c r="O29" s="36"/>
      <c r="P29" s="142" t="s">
        <v>292</v>
      </c>
      <c r="Q29" s="142" t="s">
        <v>292</v>
      </c>
      <c r="R29" s="142" t="s">
        <v>292</v>
      </c>
      <c r="S29" s="142" t="s">
        <v>292</v>
      </c>
      <c r="T29" s="142"/>
      <c r="U29" s="142"/>
    </row>
    <row r="30" spans="1:21" ht="15">
      <c r="A30" s="25" t="s">
        <v>315</v>
      </c>
      <c r="B30" s="638">
        <v>0</v>
      </c>
      <c r="C30" s="638">
        <v>0</v>
      </c>
      <c r="D30" s="638">
        <v>0</v>
      </c>
      <c r="E30" s="41">
        <v>2.738</v>
      </c>
      <c r="F30" s="41">
        <v>4.277</v>
      </c>
      <c r="G30" s="41">
        <v>4.676</v>
      </c>
      <c r="H30" s="41">
        <v>3.499</v>
      </c>
      <c r="I30" s="25">
        <v>3.3</v>
      </c>
      <c r="J30" s="130">
        <v>4.191</v>
      </c>
      <c r="K30" s="130">
        <v>3.6</v>
      </c>
      <c r="L30" s="154">
        <v>4.2</v>
      </c>
      <c r="M30" s="154">
        <v>3</v>
      </c>
      <c r="N30" s="193">
        <v>3.5</v>
      </c>
      <c r="O30" s="193">
        <v>3</v>
      </c>
      <c r="P30" s="142">
        <v>3.465</v>
      </c>
      <c r="Q30" s="142">
        <v>3.894</v>
      </c>
      <c r="R30" s="142">
        <v>3.629</v>
      </c>
      <c r="S30" s="142">
        <v>3.3</v>
      </c>
      <c r="T30" s="142">
        <v>4</v>
      </c>
      <c r="U30" s="142">
        <v>4.28</v>
      </c>
    </row>
    <row r="31" spans="1:21" ht="15">
      <c r="A31" s="25" t="s">
        <v>316</v>
      </c>
      <c r="B31" s="638">
        <v>0</v>
      </c>
      <c r="C31" s="638">
        <v>0</v>
      </c>
      <c r="D31" s="638">
        <v>0</v>
      </c>
      <c r="E31" s="41">
        <v>7.705</v>
      </c>
      <c r="F31" s="41">
        <v>8.232</v>
      </c>
      <c r="G31" s="41">
        <v>9.193</v>
      </c>
      <c r="H31" s="41">
        <v>8.129</v>
      </c>
      <c r="I31" s="25">
        <v>9.6</v>
      </c>
      <c r="J31" s="130">
        <v>10.913</v>
      </c>
      <c r="K31" s="130">
        <v>11.2</v>
      </c>
      <c r="L31" s="154">
        <v>11.5</v>
      </c>
      <c r="M31" s="154">
        <v>11</v>
      </c>
      <c r="N31" s="193">
        <v>11.5</v>
      </c>
      <c r="O31" s="193">
        <v>10.2</v>
      </c>
      <c r="P31" s="142">
        <v>9.983</v>
      </c>
      <c r="Q31" s="142">
        <v>9.813</v>
      </c>
      <c r="R31" s="142">
        <v>9.772</v>
      </c>
      <c r="S31" s="142">
        <v>10.3</v>
      </c>
      <c r="T31" s="142">
        <v>7.3</v>
      </c>
      <c r="U31" s="142">
        <v>7.6</v>
      </c>
    </row>
    <row r="32" spans="1:21" ht="18">
      <c r="A32" s="25" t="s">
        <v>52</v>
      </c>
      <c r="B32" s="638">
        <v>0</v>
      </c>
      <c r="C32" s="638">
        <v>0</v>
      </c>
      <c r="D32" s="638">
        <v>0</v>
      </c>
      <c r="E32" s="41">
        <v>4.193</v>
      </c>
      <c r="F32" s="41">
        <v>4.767</v>
      </c>
      <c r="G32" s="41">
        <v>4.956</v>
      </c>
      <c r="H32" s="41">
        <v>4.835</v>
      </c>
      <c r="I32" s="25">
        <v>4.9</v>
      </c>
      <c r="J32" s="130">
        <v>5.884</v>
      </c>
      <c r="K32" s="130">
        <v>5.2</v>
      </c>
      <c r="L32" s="154">
        <v>4.9</v>
      </c>
      <c r="M32" s="154">
        <v>3.8</v>
      </c>
      <c r="N32" s="193">
        <v>4.5</v>
      </c>
      <c r="O32" s="193">
        <v>4.4</v>
      </c>
      <c r="P32" s="142">
        <v>4.049</v>
      </c>
      <c r="Q32" s="142">
        <v>4.761</v>
      </c>
      <c r="R32" s="638">
        <v>0</v>
      </c>
      <c r="S32" s="638">
        <v>0</v>
      </c>
      <c r="T32" s="638">
        <v>0</v>
      </c>
      <c r="U32" s="638">
        <v>0</v>
      </c>
    </row>
    <row r="33" spans="1:21" ht="15">
      <c r="A33" s="25" t="s">
        <v>264</v>
      </c>
      <c r="B33" s="638">
        <v>0</v>
      </c>
      <c r="C33" s="638">
        <v>0</v>
      </c>
      <c r="D33" s="638">
        <v>0</v>
      </c>
      <c r="E33" s="41">
        <v>2.864</v>
      </c>
      <c r="F33" s="41">
        <v>3.921</v>
      </c>
      <c r="G33" s="41">
        <v>3.523</v>
      </c>
      <c r="H33" s="41">
        <v>3.899</v>
      </c>
      <c r="I33" s="25">
        <v>6.5</v>
      </c>
      <c r="J33" s="130">
        <v>4.237</v>
      </c>
      <c r="K33" s="130">
        <v>3.5</v>
      </c>
      <c r="L33" s="154">
        <v>4.1</v>
      </c>
      <c r="M33" s="154">
        <v>2.8</v>
      </c>
      <c r="N33" s="193">
        <v>4.3</v>
      </c>
      <c r="O33" s="193">
        <v>4.5</v>
      </c>
      <c r="P33" s="142">
        <v>3.835</v>
      </c>
      <c r="Q33" s="142">
        <v>1.962</v>
      </c>
      <c r="R33" s="142">
        <v>2.155</v>
      </c>
      <c r="S33" s="142">
        <v>2</v>
      </c>
      <c r="T33" s="142">
        <v>3.7</v>
      </c>
      <c r="U33" s="142">
        <v>3.5</v>
      </c>
    </row>
    <row r="34" spans="1:21" ht="18">
      <c r="A34" s="25" t="s">
        <v>53</v>
      </c>
      <c r="B34" s="638">
        <v>0</v>
      </c>
      <c r="C34" s="638">
        <v>0</v>
      </c>
      <c r="D34" s="638">
        <v>0</v>
      </c>
      <c r="E34" s="41">
        <v>0.343</v>
      </c>
      <c r="F34" s="41">
        <v>0.413</v>
      </c>
      <c r="G34" s="41">
        <v>0.522</v>
      </c>
      <c r="H34" s="41">
        <v>0.385</v>
      </c>
      <c r="I34" s="36">
        <v>0.349</v>
      </c>
      <c r="J34" s="130">
        <v>0.548</v>
      </c>
      <c r="K34" s="130">
        <v>0.4</v>
      </c>
      <c r="L34" s="154">
        <v>0.4</v>
      </c>
      <c r="M34" s="154">
        <v>0.4</v>
      </c>
      <c r="N34" s="193">
        <v>1.2</v>
      </c>
      <c r="O34" s="193">
        <v>0.3</v>
      </c>
      <c r="P34" s="142">
        <v>0.473</v>
      </c>
      <c r="Q34" s="142">
        <v>0.261</v>
      </c>
      <c r="R34" s="638">
        <v>0</v>
      </c>
      <c r="S34" s="638">
        <v>0</v>
      </c>
      <c r="T34" s="638">
        <v>0</v>
      </c>
      <c r="U34" s="638">
        <v>0</v>
      </c>
    </row>
    <row r="35" spans="1:21" ht="15.75">
      <c r="A35" s="37" t="s">
        <v>141</v>
      </c>
      <c r="B35" s="645">
        <f aca="true" t="shared" si="2" ref="B35:U35">SUM(B30:B34)</f>
        <v>0</v>
      </c>
      <c r="C35" s="645">
        <f t="shared" si="2"/>
        <v>0</v>
      </c>
      <c r="D35" s="645">
        <f t="shared" si="2"/>
        <v>0</v>
      </c>
      <c r="E35" s="645">
        <f t="shared" si="2"/>
        <v>17.843</v>
      </c>
      <c r="F35" s="645">
        <f t="shared" si="2"/>
        <v>21.61</v>
      </c>
      <c r="G35" s="645">
        <f t="shared" si="2"/>
        <v>22.869999999999997</v>
      </c>
      <c r="H35" s="645">
        <f t="shared" si="2"/>
        <v>20.747000000000003</v>
      </c>
      <c r="I35" s="645">
        <f t="shared" si="2"/>
        <v>24.648999999999997</v>
      </c>
      <c r="J35" s="645">
        <f t="shared" si="2"/>
        <v>25.773000000000003</v>
      </c>
      <c r="K35" s="645">
        <f t="shared" si="2"/>
        <v>23.9</v>
      </c>
      <c r="L35" s="645">
        <f t="shared" si="2"/>
        <v>25.1</v>
      </c>
      <c r="M35" s="645">
        <f t="shared" si="2"/>
        <v>21</v>
      </c>
      <c r="N35" s="645">
        <f t="shared" si="2"/>
        <v>25</v>
      </c>
      <c r="O35" s="645">
        <f t="shared" si="2"/>
        <v>22.400000000000002</v>
      </c>
      <c r="P35" s="645">
        <f t="shared" si="2"/>
        <v>21.805</v>
      </c>
      <c r="Q35" s="645">
        <f t="shared" si="2"/>
        <v>20.691</v>
      </c>
      <c r="R35" s="645">
        <f t="shared" si="2"/>
        <v>15.556</v>
      </c>
      <c r="S35" s="645">
        <f t="shared" si="2"/>
        <v>15.600000000000001</v>
      </c>
      <c r="T35" s="645">
        <f t="shared" si="2"/>
        <v>15</v>
      </c>
      <c r="U35" s="645">
        <f t="shared" si="2"/>
        <v>15.379999999999999</v>
      </c>
    </row>
    <row r="36" spans="1:21" ht="9" customHeight="1">
      <c r="A36" s="2"/>
      <c r="B36" s="39"/>
      <c r="C36" s="39"/>
      <c r="D36" s="39"/>
      <c r="E36" s="41"/>
      <c r="F36" s="41"/>
      <c r="G36" s="41"/>
      <c r="H36" s="41"/>
      <c r="J36" s="41"/>
      <c r="N36" s="41"/>
      <c r="O36" s="41"/>
      <c r="P36" s="36"/>
      <c r="Q36" s="142" t="s">
        <v>292</v>
      </c>
      <c r="R36" s="390"/>
      <c r="S36" s="390"/>
      <c r="T36" s="390"/>
      <c r="U36" s="390"/>
    </row>
    <row r="37" spans="1:21" ht="18.75">
      <c r="A37" s="2" t="s">
        <v>119</v>
      </c>
      <c r="J37" s="41"/>
      <c r="P37" s="36"/>
      <c r="Q37" s="142" t="s">
        <v>292</v>
      </c>
      <c r="R37" s="142" t="s">
        <v>292</v>
      </c>
      <c r="S37" s="142" t="s">
        <v>292</v>
      </c>
      <c r="T37" s="142" t="s">
        <v>292</v>
      </c>
      <c r="U37" s="142" t="s">
        <v>292</v>
      </c>
    </row>
    <row r="38" spans="1:21" ht="18">
      <c r="A38" s="25" t="s">
        <v>120</v>
      </c>
      <c r="B38" s="638">
        <v>0</v>
      </c>
      <c r="C38" s="638">
        <v>0</v>
      </c>
      <c r="D38" s="638">
        <v>0</v>
      </c>
      <c r="E38" s="638">
        <v>0</v>
      </c>
      <c r="F38" s="39">
        <v>3.4</v>
      </c>
      <c r="G38" s="39">
        <v>3.3</v>
      </c>
      <c r="H38" s="39">
        <v>3.2</v>
      </c>
      <c r="I38" s="39">
        <v>3.2</v>
      </c>
      <c r="J38" s="638">
        <v>0</v>
      </c>
      <c r="K38" s="25">
        <v>2.4</v>
      </c>
      <c r="L38" s="222">
        <v>2.1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</row>
    <row r="39" spans="1:21" ht="18">
      <c r="A39" s="25" t="s">
        <v>121</v>
      </c>
      <c r="B39" s="638">
        <v>0</v>
      </c>
      <c r="C39" s="638">
        <v>0</v>
      </c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142">
        <v>0.015</v>
      </c>
      <c r="N39" s="142">
        <v>0.08</v>
      </c>
      <c r="O39" s="142">
        <v>0.1</v>
      </c>
      <c r="P39" s="638">
        <v>0</v>
      </c>
      <c r="Q39" s="638">
        <v>0</v>
      </c>
      <c r="R39" s="638">
        <v>0</v>
      </c>
      <c r="S39" s="638">
        <v>0</v>
      </c>
      <c r="T39" s="638">
        <v>0</v>
      </c>
      <c r="U39" s="638">
        <v>0</v>
      </c>
    </row>
    <row r="40" spans="1:21" ht="15">
      <c r="A40" s="25" t="s">
        <v>409</v>
      </c>
      <c r="B40" s="638">
        <v>0</v>
      </c>
      <c r="C40" s="638">
        <v>0</v>
      </c>
      <c r="D40" s="638">
        <v>0</v>
      </c>
      <c r="E40" s="638">
        <v>0</v>
      </c>
      <c r="F40" s="39">
        <v>12</v>
      </c>
      <c r="G40" s="39">
        <v>11.5</v>
      </c>
      <c r="H40" s="39">
        <v>11.3</v>
      </c>
      <c r="I40" s="39">
        <v>11.5</v>
      </c>
      <c r="J40" s="638">
        <v>0</v>
      </c>
      <c r="K40" s="36">
        <v>12</v>
      </c>
      <c r="L40" s="223">
        <v>10.3</v>
      </c>
      <c r="M40" s="142">
        <v>0.181</v>
      </c>
      <c r="N40" s="142">
        <v>0.169</v>
      </c>
      <c r="O40" s="142">
        <v>0.2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</row>
    <row r="41" spans="1:21" s="33" customFormat="1" ht="15">
      <c r="A41" s="33" t="s">
        <v>410</v>
      </c>
      <c r="B41" s="638">
        <v>0</v>
      </c>
      <c r="C41" s="638">
        <v>0</v>
      </c>
      <c r="D41" s="638">
        <v>0</v>
      </c>
      <c r="E41" s="638">
        <v>0</v>
      </c>
      <c r="F41" s="39">
        <v>42.3</v>
      </c>
      <c r="G41" s="39">
        <v>44.8</v>
      </c>
      <c r="H41" s="39">
        <v>45.4</v>
      </c>
      <c r="I41" s="39">
        <v>47</v>
      </c>
      <c r="J41" s="638">
        <v>0</v>
      </c>
      <c r="K41" s="33">
        <v>7.6</v>
      </c>
      <c r="L41" s="222">
        <v>4.8</v>
      </c>
      <c r="M41" s="168">
        <v>0.243</v>
      </c>
      <c r="N41" s="168">
        <v>0.268</v>
      </c>
      <c r="O41" s="168">
        <v>0.2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</row>
    <row r="42" spans="1:21" s="33" customFormat="1" ht="15">
      <c r="A42" s="143" t="s">
        <v>406</v>
      </c>
      <c r="B42" s="640">
        <v>0</v>
      </c>
      <c r="C42" s="640">
        <v>0</v>
      </c>
      <c r="D42" s="640">
        <v>0</v>
      </c>
      <c r="E42" s="640">
        <v>0</v>
      </c>
      <c r="F42" s="640">
        <v>0</v>
      </c>
      <c r="G42" s="640">
        <v>0</v>
      </c>
      <c r="H42" s="640">
        <v>0</v>
      </c>
      <c r="I42" s="640">
        <v>0</v>
      </c>
      <c r="J42" s="640">
        <v>0</v>
      </c>
      <c r="K42" s="640">
        <v>0</v>
      </c>
      <c r="L42" s="640">
        <v>0</v>
      </c>
      <c r="M42" s="168">
        <v>0.069</v>
      </c>
      <c r="N42" s="168">
        <v>0.02</v>
      </c>
      <c r="O42" s="168">
        <v>0</v>
      </c>
      <c r="P42" s="640">
        <v>0</v>
      </c>
      <c r="Q42" s="640">
        <v>0</v>
      </c>
      <c r="R42" s="640">
        <v>0</v>
      </c>
      <c r="S42" s="640">
        <v>0</v>
      </c>
      <c r="T42" s="640">
        <v>0</v>
      </c>
      <c r="U42" s="640">
        <v>0</v>
      </c>
    </row>
    <row r="43" spans="1:21" s="33" customFormat="1" ht="15.75">
      <c r="A43" s="37" t="s">
        <v>141</v>
      </c>
      <c r="B43" s="644">
        <f aca="true" t="shared" si="3" ref="B43:U43">SUM(B38:B42)</f>
        <v>0</v>
      </c>
      <c r="C43" s="644">
        <f t="shared" si="3"/>
        <v>0</v>
      </c>
      <c r="D43" s="644">
        <f t="shared" si="3"/>
        <v>0</v>
      </c>
      <c r="E43" s="644">
        <f t="shared" si="3"/>
        <v>0</v>
      </c>
      <c r="F43" s="644">
        <f t="shared" si="3"/>
        <v>57.699999999999996</v>
      </c>
      <c r="G43" s="644">
        <f t="shared" si="3"/>
        <v>59.599999999999994</v>
      </c>
      <c r="H43" s="644">
        <f t="shared" si="3"/>
        <v>59.9</v>
      </c>
      <c r="I43" s="644">
        <f t="shared" si="3"/>
        <v>61.7</v>
      </c>
      <c r="J43" s="644">
        <f t="shared" si="3"/>
        <v>0</v>
      </c>
      <c r="K43" s="644">
        <f t="shared" si="3"/>
        <v>22</v>
      </c>
      <c r="L43" s="644">
        <f t="shared" si="3"/>
        <v>17.2</v>
      </c>
      <c r="M43" s="644">
        <f t="shared" si="3"/>
        <v>0.508</v>
      </c>
      <c r="N43" s="644">
        <f t="shared" si="3"/>
        <v>0.537</v>
      </c>
      <c r="O43" s="644">
        <f t="shared" si="3"/>
        <v>0.5</v>
      </c>
      <c r="P43" s="644">
        <f t="shared" si="3"/>
        <v>0</v>
      </c>
      <c r="Q43" s="644">
        <f t="shared" si="3"/>
        <v>0</v>
      </c>
      <c r="R43" s="644">
        <f t="shared" si="3"/>
        <v>0</v>
      </c>
      <c r="S43" s="644">
        <f t="shared" si="3"/>
        <v>0</v>
      </c>
      <c r="T43" s="644">
        <f t="shared" si="3"/>
        <v>0</v>
      </c>
      <c r="U43" s="644">
        <f t="shared" si="3"/>
        <v>0</v>
      </c>
    </row>
    <row r="44" spans="1:21" s="33" customFormat="1" ht="6" customHeight="1">
      <c r="A44" s="37"/>
      <c r="B44" s="642"/>
      <c r="C44" s="642"/>
      <c r="D44" s="642"/>
      <c r="E44" s="642"/>
      <c r="F44" s="642"/>
      <c r="G44" s="642"/>
      <c r="H44" s="642"/>
      <c r="I44" s="642"/>
      <c r="J44" s="642"/>
      <c r="K44" s="642"/>
      <c r="L44" s="642"/>
      <c r="M44" s="642"/>
      <c r="N44" s="642"/>
      <c r="O44" s="642"/>
      <c r="P44" s="642"/>
      <c r="Q44" s="642"/>
      <c r="R44" s="642"/>
      <c r="S44" s="642"/>
      <c r="T44" s="642"/>
      <c r="U44" s="642"/>
    </row>
    <row r="45" spans="1:21" s="33" customFormat="1" ht="15.75">
      <c r="A45" s="639" t="s">
        <v>659</v>
      </c>
      <c r="B45" s="643">
        <f aca="true" t="shared" si="4" ref="B45:I45">B43+B35+B26+B23+B18+B15+B12</f>
        <v>35.3</v>
      </c>
      <c r="C45" s="643">
        <f t="shared" si="4"/>
        <v>45.099999999999994</v>
      </c>
      <c r="D45" s="643">
        <f t="shared" si="4"/>
        <v>45</v>
      </c>
      <c r="E45" s="643">
        <f t="shared" si="4"/>
        <v>61.043</v>
      </c>
      <c r="F45" s="643">
        <f t="shared" si="4"/>
        <v>126.51000000000002</v>
      </c>
      <c r="G45" s="643">
        <f t="shared" si="4"/>
        <v>129.87</v>
      </c>
      <c r="H45" s="643">
        <f t="shared" si="4"/>
        <v>128.64700000000002</v>
      </c>
      <c r="I45" s="643">
        <f t="shared" si="4"/>
        <v>134.149</v>
      </c>
      <c r="J45" s="643">
        <f>J43+J35+J27+J23+J18+J15+J12</f>
        <v>69.46600000000001</v>
      </c>
      <c r="K45" s="643">
        <f>K43+K35+K27+K23+K18+K15+K12</f>
        <v>91.084</v>
      </c>
      <c r="L45" s="643">
        <f>L43+L35+L27+L23+17.3+L15+L12</f>
        <v>91.531</v>
      </c>
      <c r="M45" s="643">
        <f>M43+M35+M27+M23+29.1+M15+M12</f>
        <v>83.53</v>
      </c>
      <c r="N45" s="643">
        <f aca="true" t="shared" si="5" ref="N45:U45">N43+N35+N27+N23+N18+N15+N12</f>
        <v>96.255</v>
      </c>
      <c r="O45" s="643">
        <f t="shared" si="5"/>
        <v>96.69800000000001</v>
      </c>
      <c r="P45" s="643">
        <f t="shared" si="5"/>
        <v>93.70500000000001</v>
      </c>
      <c r="Q45" s="643">
        <f t="shared" si="5"/>
        <v>91.25099999999999</v>
      </c>
      <c r="R45" s="643">
        <f t="shared" si="5"/>
        <v>94.656</v>
      </c>
      <c r="S45" s="643">
        <f t="shared" si="5"/>
        <v>98.445</v>
      </c>
      <c r="T45" s="643">
        <f t="shared" si="5"/>
        <v>95.9</v>
      </c>
      <c r="U45" s="643">
        <f t="shared" si="5"/>
        <v>100.439</v>
      </c>
    </row>
    <row r="46" s="5" customFormat="1" ht="18" customHeight="1">
      <c r="A46" s="5" t="s">
        <v>601</v>
      </c>
    </row>
    <row r="47" spans="1:9" s="5" customFormat="1" ht="12.75">
      <c r="A47" s="11" t="s">
        <v>510</v>
      </c>
      <c r="B47" s="11"/>
      <c r="C47" s="11"/>
      <c r="D47" s="11"/>
      <c r="E47" s="11"/>
      <c r="F47" s="11"/>
      <c r="G47" s="11"/>
      <c r="H47" s="11"/>
      <c r="I47" s="11"/>
    </row>
    <row r="48" s="5" customFormat="1" ht="12.75">
      <c r="A48" s="5" t="s">
        <v>509</v>
      </c>
    </row>
    <row r="49" s="5" customFormat="1" ht="12.75">
      <c r="A49" s="5" t="s">
        <v>740</v>
      </c>
    </row>
    <row r="50" s="5" customFormat="1" ht="12.75">
      <c r="A50" s="5" t="s">
        <v>508</v>
      </c>
    </row>
    <row r="51" s="5" customFormat="1" ht="12.75">
      <c r="A51" s="5" t="s">
        <v>507</v>
      </c>
    </row>
    <row r="52" s="5" customFormat="1" ht="12.75">
      <c r="A52" s="5" t="s">
        <v>506</v>
      </c>
    </row>
    <row r="53" s="5" customFormat="1" ht="12.75">
      <c r="A53" s="5" t="s">
        <v>505</v>
      </c>
    </row>
    <row r="54" s="5" customFormat="1" ht="12.75">
      <c r="A54" s="5" t="s">
        <v>504</v>
      </c>
    </row>
    <row r="55" s="5" customFormat="1" ht="12.75">
      <c r="A55" s="5" t="s">
        <v>503</v>
      </c>
    </row>
    <row r="56" s="5" customFormat="1" ht="12.75">
      <c r="A56" s="5" t="s">
        <v>502</v>
      </c>
    </row>
    <row r="57" s="5" customFormat="1" ht="12.75">
      <c r="A57" s="5" t="s">
        <v>501</v>
      </c>
    </row>
    <row r="58" s="5" customFormat="1" ht="12.75" customHeight="1">
      <c r="A58" s="5" t="s">
        <v>500</v>
      </c>
    </row>
    <row r="59" s="5" customFormat="1" ht="12.75" customHeight="1">
      <c r="A59" s="5" t="s">
        <v>499</v>
      </c>
    </row>
    <row r="60" s="5" customFormat="1" ht="12.75" customHeight="1">
      <c r="A60" s="5" t="s">
        <v>498</v>
      </c>
    </row>
    <row r="61" s="5" customFormat="1" ht="12.75">
      <c r="A61" s="5" t="s">
        <v>497</v>
      </c>
    </row>
    <row r="62" s="5" customFormat="1" ht="12" customHeight="1">
      <c r="A62" s="5" t="s">
        <v>587</v>
      </c>
    </row>
    <row r="63" spans="1:14" ht="16.5" customHeight="1">
      <c r="A63" s="5" t="s">
        <v>54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</sheetData>
  <sheetProtection/>
  <printOptions/>
  <pageMargins left="0.75" right="0.75" top="1" bottom="1" header="0.5" footer="0.5"/>
  <pageSetup fitToHeight="1" fitToWidth="1" horizontalDpi="96" verticalDpi="96" orientation="portrait" paperSize="9" scale="74" r:id="rId1"/>
  <headerFooter alignWithMargins="0">
    <oddHeader>&amp;R&amp;"Arial,Bold"&amp;16WATER TRANSPORT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zoomScale="85" zoomScaleNormal="85" zoomScalePageLayoutView="0" workbookViewId="0" topLeftCell="A1">
      <selection activeCell="B32" sqref="B32"/>
    </sheetView>
  </sheetViews>
  <sheetFormatPr defaultColWidth="9.140625" defaultRowHeight="12.75"/>
  <cols>
    <col min="1" max="1" width="2.7109375" style="180" customWidth="1"/>
    <col min="2" max="3" width="1.8515625" style="180" customWidth="1"/>
    <col min="4" max="4" width="29.57421875" style="180" customWidth="1"/>
    <col min="5" max="7" width="8.7109375" style="180" hidden="1" customWidth="1"/>
    <col min="8" max="9" width="9.7109375" style="180" hidden="1" customWidth="1"/>
    <col min="10" max="11" width="9.7109375" style="180" customWidth="1"/>
    <col min="12" max="12" width="11.00390625" style="180" customWidth="1"/>
    <col min="13" max="13" width="10.421875" style="180" customWidth="1"/>
    <col min="14" max="14" width="10.28125" style="180" customWidth="1"/>
    <col min="15" max="15" width="10.00390625" style="180" customWidth="1"/>
    <col min="16" max="16" width="10.28125" style="180" customWidth="1"/>
    <col min="17" max="18" width="10.00390625" style="180" customWidth="1"/>
    <col min="19" max="19" width="10.57421875" style="180" customWidth="1"/>
    <col min="20" max="20" width="10.140625" style="180" customWidth="1"/>
    <col min="21" max="16384" width="9.140625" style="180" customWidth="1"/>
  </cols>
  <sheetData>
    <row r="1" spans="1:19" s="25" customFormat="1" ht="15.75">
      <c r="A1" s="37" t="s">
        <v>738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8.25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</row>
    <row r="3" spans="1:20" ht="15.75">
      <c r="A3" s="466"/>
      <c r="B3" s="466"/>
      <c r="C3" s="466"/>
      <c r="D3" s="467"/>
      <c r="E3" s="427">
        <v>1996</v>
      </c>
      <c r="F3" s="427">
        <v>1997</v>
      </c>
      <c r="G3" s="427">
        <v>1998</v>
      </c>
      <c r="H3" s="427">
        <v>1999</v>
      </c>
      <c r="I3" s="467">
        <v>2000</v>
      </c>
      <c r="J3" s="467">
        <v>2001</v>
      </c>
      <c r="K3" s="467">
        <v>2002</v>
      </c>
      <c r="L3" s="467">
        <v>2003</v>
      </c>
      <c r="M3" s="467">
        <v>2004</v>
      </c>
      <c r="N3" s="467">
        <v>2005</v>
      </c>
      <c r="O3" s="467">
        <v>2006</v>
      </c>
      <c r="P3" s="467">
        <v>2007</v>
      </c>
      <c r="Q3" s="467">
        <v>2008</v>
      </c>
      <c r="R3" s="467">
        <v>2009</v>
      </c>
      <c r="S3" s="467">
        <v>2010</v>
      </c>
      <c r="T3" s="467">
        <v>2011</v>
      </c>
    </row>
    <row r="4" spans="1:20" ht="15.75">
      <c r="A4" s="406"/>
      <c r="B4" s="406"/>
      <c r="C4" s="406"/>
      <c r="D4" s="468" t="s">
        <v>335</v>
      </c>
      <c r="E4" s="627" t="s">
        <v>652</v>
      </c>
      <c r="F4" s="627" t="s">
        <v>653</v>
      </c>
      <c r="G4" s="627" t="s">
        <v>654</v>
      </c>
      <c r="H4" s="627" t="s">
        <v>655</v>
      </c>
      <c r="I4" s="469" t="s">
        <v>438</v>
      </c>
      <c r="J4" s="469" t="s">
        <v>437</v>
      </c>
      <c r="K4" s="469" t="s">
        <v>436</v>
      </c>
      <c r="L4" s="469" t="s">
        <v>435</v>
      </c>
      <c r="M4" s="469" t="s">
        <v>452</v>
      </c>
      <c r="N4" s="469" t="s">
        <v>565</v>
      </c>
      <c r="O4" s="469" t="s">
        <v>580</v>
      </c>
      <c r="P4" s="469" t="s">
        <v>599</v>
      </c>
      <c r="Q4" s="469" t="s">
        <v>626</v>
      </c>
      <c r="R4" s="469" t="s">
        <v>66</v>
      </c>
      <c r="S4" s="469" t="s">
        <v>13</v>
      </c>
      <c r="T4" s="469" t="s">
        <v>9</v>
      </c>
    </row>
    <row r="5" spans="4:15" ht="15.75">
      <c r="D5" s="400"/>
      <c r="E5"/>
      <c r="F5" s="9"/>
      <c r="G5"/>
      <c r="H5"/>
      <c r="N5" s="379"/>
      <c r="O5" s="379"/>
    </row>
    <row r="6" spans="1:20" ht="15.75">
      <c r="A6" s="454"/>
      <c r="B6" s="378" t="s">
        <v>434</v>
      </c>
      <c r="C6" s="454"/>
      <c r="D6" s="400"/>
      <c r="E6"/>
      <c r="F6" s="9"/>
      <c r="G6"/>
      <c r="H6"/>
      <c r="J6" s="379"/>
      <c r="N6" s="435"/>
      <c r="O6" s="435"/>
      <c r="P6" s="447"/>
      <c r="Q6" s="447"/>
      <c r="R6" s="447"/>
      <c r="S6" s="447"/>
      <c r="T6" s="447" t="s">
        <v>433</v>
      </c>
    </row>
    <row r="7" spans="3:20" ht="18">
      <c r="C7" s="180" t="s">
        <v>122</v>
      </c>
      <c r="E7" s="76" t="s">
        <v>189</v>
      </c>
      <c r="F7" s="76" t="s">
        <v>189</v>
      </c>
      <c r="G7" s="76" t="s">
        <v>189</v>
      </c>
      <c r="H7" s="27">
        <v>142131</v>
      </c>
      <c r="I7" s="320">
        <v>137770</v>
      </c>
      <c r="J7" s="320">
        <v>132020</v>
      </c>
      <c r="K7" s="320">
        <v>135022</v>
      </c>
      <c r="L7" s="320">
        <v>139653</v>
      </c>
      <c r="M7" s="320">
        <v>140381</v>
      </c>
      <c r="N7" s="398">
        <v>143910</v>
      </c>
      <c r="O7" s="398">
        <v>142933</v>
      </c>
      <c r="P7" s="398">
        <v>132558</v>
      </c>
      <c r="Q7" s="398">
        <v>131639</v>
      </c>
      <c r="R7" s="398">
        <v>131103</v>
      </c>
      <c r="S7" s="398">
        <v>131317</v>
      </c>
      <c r="T7" s="398">
        <v>131209</v>
      </c>
    </row>
    <row r="8" spans="5:20" ht="15">
      <c r="E8" s="76"/>
      <c r="F8" s="76"/>
      <c r="G8" s="76"/>
      <c r="H8" s="76"/>
      <c r="I8" s="311"/>
      <c r="J8" s="311"/>
      <c r="K8" s="311"/>
      <c r="L8" s="437"/>
      <c r="M8" s="437"/>
      <c r="N8" s="320"/>
      <c r="O8" s="320"/>
      <c r="R8" s="384"/>
      <c r="S8" s="384"/>
      <c r="T8" s="384"/>
    </row>
    <row r="9" spans="2:20" ht="15" customHeight="1">
      <c r="B9" s="305"/>
      <c r="E9" s="1"/>
      <c r="F9" s="1"/>
      <c r="G9" s="1"/>
      <c r="H9" s="1"/>
      <c r="I9" s="305"/>
      <c r="J9" s="305"/>
      <c r="K9" s="305"/>
      <c r="L9" s="305"/>
      <c r="M9" s="305"/>
      <c r="N9" s="435"/>
      <c r="P9" s="447"/>
      <c r="Q9" s="447"/>
      <c r="R9" s="491"/>
      <c r="S9" s="491"/>
      <c r="T9" s="491" t="s">
        <v>432</v>
      </c>
    </row>
    <row r="10" spans="1:20" ht="18.75">
      <c r="A10" s="400"/>
      <c r="B10" s="400"/>
      <c r="C10" s="180" t="s">
        <v>123</v>
      </c>
      <c r="E10" s="76" t="s">
        <v>189</v>
      </c>
      <c r="F10" s="76" t="s">
        <v>189</v>
      </c>
      <c r="G10" s="76" t="s">
        <v>189</v>
      </c>
      <c r="H10" s="76" t="s">
        <v>189</v>
      </c>
      <c r="I10" s="311" t="s">
        <v>189</v>
      </c>
      <c r="J10" s="311" t="s">
        <v>189</v>
      </c>
      <c r="K10" s="311" t="s">
        <v>189</v>
      </c>
      <c r="L10" s="437">
        <v>99.7</v>
      </c>
      <c r="M10" s="437">
        <v>99.7</v>
      </c>
      <c r="N10" s="180">
        <v>99.7</v>
      </c>
      <c r="O10" s="180">
        <v>99.7</v>
      </c>
      <c r="P10" s="180">
        <v>99.8</v>
      </c>
      <c r="Q10" s="391">
        <v>99.95</v>
      </c>
      <c r="R10" s="391">
        <v>99.92</v>
      </c>
      <c r="S10" s="391">
        <v>99.8</v>
      </c>
      <c r="T10" s="391">
        <v>99.92</v>
      </c>
    </row>
    <row r="11" spans="1:20" ht="18.75">
      <c r="A11" s="400"/>
      <c r="B11" s="400"/>
      <c r="C11" s="180" t="s">
        <v>124</v>
      </c>
      <c r="E11" s="76" t="s">
        <v>189</v>
      </c>
      <c r="F11" s="76" t="s">
        <v>189</v>
      </c>
      <c r="G11" s="76" t="s">
        <v>189</v>
      </c>
      <c r="H11" s="38">
        <v>97.1</v>
      </c>
      <c r="I11" s="437">
        <v>98.6</v>
      </c>
      <c r="J11" s="437">
        <v>98.8</v>
      </c>
      <c r="K11" s="437">
        <v>98.9</v>
      </c>
      <c r="L11" s="437">
        <v>98.9</v>
      </c>
      <c r="M11" s="437">
        <v>98.8</v>
      </c>
      <c r="N11" s="455">
        <v>99.2</v>
      </c>
      <c r="O11" s="455">
        <v>99.2</v>
      </c>
      <c r="P11" s="455">
        <v>99.4</v>
      </c>
      <c r="Q11" s="455">
        <v>99.86</v>
      </c>
      <c r="R11" s="455">
        <v>99.85</v>
      </c>
      <c r="S11" s="455">
        <v>99.9</v>
      </c>
      <c r="T11" s="455">
        <v>99.8</v>
      </c>
    </row>
    <row r="12" spans="1:20" ht="15" customHeight="1">
      <c r="A12" s="400"/>
      <c r="B12" s="400"/>
      <c r="E12" s="76"/>
      <c r="F12" s="76"/>
      <c r="G12" s="76"/>
      <c r="H12" s="76"/>
      <c r="I12" s="311"/>
      <c r="J12" s="437"/>
      <c r="K12" s="437"/>
      <c r="L12" s="437"/>
      <c r="M12" s="437"/>
      <c r="N12" s="437"/>
      <c r="O12" s="437"/>
      <c r="T12" s="384"/>
    </row>
    <row r="13" spans="1:20" ht="15" customHeight="1">
      <c r="A13" s="400"/>
      <c r="B13" s="400"/>
      <c r="E13" s="76"/>
      <c r="F13" s="76"/>
      <c r="G13" s="76"/>
      <c r="H13" s="76"/>
      <c r="I13" s="311"/>
      <c r="J13" s="437"/>
      <c r="K13" s="437"/>
      <c r="L13" s="437"/>
      <c r="M13" s="437"/>
      <c r="N13" s="437"/>
      <c r="O13" s="437"/>
      <c r="T13" s="384"/>
    </row>
    <row r="14" spans="2:20" ht="18.75">
      <c r="B14" s="378" t="s">
        <v>126</v>
      </c>
      <c r="C14" s="454"/>
      <c r="E14" s="76"/>
      <c r="F14" s="76"/>
      <c r="G14" s="76"/>
      <c r="H14" s="76"/>
      <c r="I14" s="311"/>
      <c r="J14" s="311"/>
      <c r="K14" s="311"/>
      <c r="L14" s="437"/>
      <c r="M14" s="437"/>
      <c r="N14" s="435"/>
      <c r="P14" s="447"/>
      <c r="Q14" s="447"/>
      <c r="R14" s="447"/>
      <c r="S14" s="447"/>
      <c r="T14" s="491" t="s">
        <v>433</v>
      </c>
    </row>
    <row r="15" spans="3:20" ht="18">
      <c r="C15" s="180" t="s">
        <v>122</v>
      </c>
      <c r="E15" s="76" t="s">
        <v>189</v>
      </c>
      <c r="F15" s="76" t="s">
        <v>189</v>
      </c>
      <c r="G15" s="76" t="s">
        <v>189</v>
      </c>
      <c r="H15" s="76" t="s">
        <v>189</v>
      </c>
      <c r="I15" s="311" t="s">
        <v>189</v>
      </c>
      <c r="J15" s="311" t="s">
        <v>189</v>
      </c>
      <c r="K15" s="398">
        <v>1350</v>
      </c>
      <c r="L15" s="320">
        <v>2625</v>
      </c>
      <c r="M15" s="320">
        <v>2645</v>
      </c>
      <c r="N15" s="320">
        <v>3254</v>
      </c>
      <c r="O15" s="320">
        <v>2688</v>
      </c>
      <c r="P15" s="320">
        <v>3191</v>
      </c>
      <c r="Q15" s="398">
        <v>3247</v>
      </c>
      <c r="R15" s="398">
        <v>3232</v>
      </c>
      <c r="S15" s="398">
        <v>3270</v>
      </c>
      <c r="T15" s="398">
        <v>3308</v>
      </c>
    </row>
    <row r="16" spans="5:20" ht="15">
      <c r="E16" s="76"/>
      <c r="F16" s="76"/>
      <c r="G16" s="76"/>
      <c r="H16" s="76"/>
      <c r="I16" s="311"/>
      <c r="J16" s="311"/>
      <c r="K16" s="311"/>
      <c r="L16" s="320"/>
      <c r="M16" s="320"/>
      <c r="N16" s="437"/>
      <c r="O16" s="437"/>
      <c r="Q16" s="384"/>
      <c r="R16" s="384"/>
      <c r="S16" s="384"/>
      <c r="T16" s="384"/>
    </row>
    <row r="17" spans="5:20" ht="15" customHeight="1">
      <c r="E17" s="76"/>
      <c r="F17" s="76"/>
      <c r="G17" s="76"/>
      <c r="H17" s="76"/>
      <c r="I17" s="311"/>
      <c r="J17" s="311"/>
      <c r="K17" s="311"/>
      <c r="L17" s="320"/>
      <c r="M17" s="320"/>
      <c r="N17" s="435"/>
      <c r="P17" s="447"/>
      <c r="Q17" s="491"/>
      <c r="R17" s="491"/>
      <c r="S17" s="491"/>
      <c r="T17" s="491" t="s">
        <v>432</v>
      </c>
    </row>
    <row r="18" spans="3:20" ht="15">
      <c r="C18" s="180" t="s">
        <v>132</v>
      </c>
      <c r="E18"/>
      <c r="F18"/>
      <c r="G18"/>
      <c r="H18"/>
      <c r="Q18" s="384"/>
      <c r="R18" s="384"/>
      <c r="S18" s="384"/>
      <c r="T18" s="384"/>
    </row>
    <row r="19" spans="4:20" ht="15" customHeight="1">
      <c r="D19" s="180" t="s">
        <v>431</v>
      </c>
      <c r="E19" s="76" t="s">
        <v>189</v>
      </c>
      <c r="F19" s="76" t="s">
        <v>189</v>
      </c>
      <c r="G19" s="76" t="s">
        <v>189</v>
      </c>
      <c r="H19" s="76" t="s">
        <v>189</v>
      </c>
      <c r="I19" s="311" t="s">
        <v>189</v>
      </c>
      <c r="J19" s="311" t="s">
        <v>189</v>
      </c>
      <c r="K19" s="455">
        <v>100</v>
      </c>
      <c r="L19" s="437">
        <v>100</v>
      </c>
      <c r="M19" s="437">
        <v>100</v>
      </c>
      <c r="N19" s="455">
        <v>100</v>
      </c>
      <c r="O19" s="455">
        <v>100</v>
      </c>
      <c r="P19" s="455">
        <v>99.9</v>
      </c>
      <c r="Q19" s="455">
        <v>99.9</v>
      </c>
      <c r="R19" s="455">
        <v>99.9</v>
      </c>
      <c r="S19" s="455">
        <v>99.82</v>
      </c>
      <c r="T19" s="455">
        <v>99.76</v>
      </c>
    </row>
    <row r="20" spans="4:20" ht="15" customHeight="1">
      <c r="D20" s="180" t="s">
        <v>430</v>
      </c>
      <c r="E20" s="76" t="s">
        <v>189</v>
      </c>
      <c r="F20" s="76" t="s">
        <v>189</v>
      </c>
      <c r="G20" s="76" t="s">
        <v>189</v>
      </c>
      <c r="H20" s="76" t="s">
        <v>189</v>
      </c>
      <c r="I20" s="311" t="s">
        <v>189</v>
      </c>
      <c r="J20" s="311" t="s">
        <v>189</v>
      </c>
      <c r="K20" s="455">
        <v>99.8</v>
      </c>
      <c r="L20" s="437">
        <v>99.2</v>
      </c>
      <c r="M20" s="437">
        <v>96.7</v>
      </c>
      <c r="N20" s="455">
        <v>100</v>
      </c>
      <c r="O20" s="455">
        <v>99</v>
      </c>
      <c r="P20" s="455">
        <v>98.6</v>
      </c>
      <c r="Q20" s="455">
        <v>98.9</v>
      </c>
      <c r="R20" s="455">
        <v>98.9</v>
      </c>
      <c r="S20" s="455">
        <v>99.28</v>
      </c>
      <c r="T20" s="455">
        <v>99.09</v>
      </c>
    </row>
    <row r="21" spans="1:20" ht="15">
      <c r="A21" s="406"/>
      <c r="B21" s="406"/>
      <c r="C21" s="406"/>
      <c r="D21" s="406"/>
      <c r="E21" s="628"/>
      <c r="F21" s="628"/>
      <c r="G21" s="628"/>
      <c r="H21" s="628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</row>
    <row r="22" spans="1:13" s="184" customFormat="1" ht="16.5" customHeight="1">
      <c r="A22" s="184" t="s">
        <v>603</v>
      </c>
      <c r="B22" s="67"/>
      <c r="C22" s="67"/>
      <c r="D22" s="67"/>
      <c r="E22" s="67"/>
      <c r="F22" s="67"/>
      <c r="G22" s="67"/>
      <c r="H22" s="67"/>
      <c r="I22" s="471"/>
      <c r="J22" s="471"/>
      <c r="K22" s="471"/>
      <c r="L22" s="471"/>
      <c r="M22" s="67"/>
    </row>
    <row r="23" spans="1:2" s="184" customFormat="1" ht="12.75">
      <c r="A23" s="182" t="s">
        <v>429</v>
      </c>
      <c r="B23" s="67" t="s">
        <v>471</v>
      </c>
    </row>
    <row r="24" spans="1:2" s="184" customFormat="1" ht="12.75">
      <c r="A24" s="183" t="s">
        <v>428</v>
      </c>
      <c r="B24" s="67" t="s">
        <v>472</v>
      </c>
    </row>
    <row r="25" spans="1:2" s="184" customFormat="1" ht="12.75">
      <c r="A25" s="182"/>
      <c r="B25" s="472" t="s">
        <v>473</v>
      </c>
    </row>
    <row r="26" s="184" customFormat="1" ht="12.75">
      <c r="B26" s="184" t="s">
        <v>474</v>
      </c>
    </row>
    <row r="27" spans="1:2" s="184" customFormat="1" ht="12.75">
      <c r="A27" s="183" t="s">
        <v>427</v>
      </c>
      <c r="B27" s="67" t="s">
        <v>475</v>
      </c>
    </row>
    <row r="28" spans="1:2" s="184" customFormat="1" ht="12.75">
      <c r="A28" s="183"/>
      <c r="B28" s="184" t="s">
        <v>476</v>
      </c>
    </row>
    <row r="29" spans="1:2" s="184" customFormat="1" ht="12.75">
      <c r="A29" s="183" t="s">
        <v>426</v>
      </c>
      <c r="B29" s="184" t="s">
        <v>609</v>
      </c>
    </row>
    <row r="30" spans="1:2" s="184" customFormat="1" ht="12.75">
      <c r="A30" s="185"/>
      <c r="B30" s="184" t="s">
        <v>610</v>
      </c>
    </row>
    <row r="31" spans="2:17" s="184" customFormat="1" ht="12.75">
      <c r="B31" s="186" t="s">
        <v>129</v>
      </c>
      <c r="I31" s="473"/>
      <c r="J31" s="473"/>
      <c r="K31" s="473"/>
      <c r="L31" s="473"/>
      <c r="M31" s="473"/>
      <c r="N31" s="473"/>
      <c r="O31" s="473"/>
      <c r="P31" s="473"/>
      <c r="Q31" s="473"/>
    </row>
    <row r="32" s="184" customFormat="1" ht="12.75" customHeight="1">
      <c r="B32" s="186" t="s">
        <v>130</v>
      </c>
    </row>
    <row r="33" s="184" customFormat="1" ht="12.75" customHeight="1">
      <c r="B33" s="186" t="s">
        <v>131</v>
      </c>
    </row>
    <row r="34" s="184" customFormat="1" ht="12.75">
      <c r="B34" s="186" t="s">
        <v>606</v>
      </c>
    </row>
    <row r="35" spans="2:17" s="184" customFormat="1" ht="12.75">
      <c r="B35" s="186" t="s">
        <v>607</v>
      </c>
      <c r="I35" s="473"/>
      <c r="J35" s="473"/>
      <c r="K35" s="473"/>
      <c r="L35" s="473"/>
      <c r="M35" s="473"/>
      <c r="N35" s="473"/>
      <c r="O35" s="473"/>
      <c r="P35" s="473"/>
      <c r="Q35" s="473"/>
    </row>
    <row r="36" spans="2:17" s="184" customFormat="1" ht="12.75">
      <c r="B36" s="186" t="s">
        <v>608</v>
      </c>
      <c r="I36" s="474"/>
      <c r="J36" s="474"/>
      <c r="K36" s="474"/>
      <c r="L36" s="475"/>
      <c r="M36" s="475"/>
      <c r="N36" s="476"/>
      <c r="O36" s="476"/>
      <c r="P36" s="473"/>
      <c r="Q36" s="473"/>
    </row>
    <row r="37" spans="2:15" s="184" customFormat="1" ht="12.75">
      <c r="B37" s="186" t="s">
        <v>606</v>
      </c>
      <c r="I37" s="477"/>
      <c r="J37" s="477"/>
      <c r="K37" s="477"/>
      <c r="L37" s="478"/>
      <c r="M37" s="478"/>
      <c r="N37" s="67"/>
      <c r="O37" s="67"/>
    </row>
    <row r="38" spans="2:17" ht="15">
      <c r="B38" s="456"/>
      <c r="I38" s="457"/>
      <c r="J38" s="457"/>
      <c r="K38" s="457"/>
      <c r="L38" s="458"/>
      <c r="M38" s="458"/>
      <c r="N38" s="324"/>
      <c r="O38" s="324"/>
      <c r="P38" s="384"/>
      <c r="Q38" s="384"/>
    </row>
    <row r="39" spans="9:15" ht="15" hidden="1">
      <c r="I39" s="459"/>
      <c r="J39" s="459"/>
      <c r="K39" s="459"/>
      <c r="L39" s="460"/>
      <c r="M39" s="460"/>
      <c r="N39" s="305"/>
      <c r="O39" s="305"/>
    </row>
    <row r="40" spans="9:15" ht="15" hidden="1">
      <c r="I40" s="459"/>
      <c r="J40" s="459"/>
      <c r="K40" s="459"/>
      <c r="L40" s="460"/>
      <c r="M40" s="460"/>
      <c r="N40" s="305"/>
      <c r="O40" s="305"/>
    </row>
    <row r="41" spans="1:19" s="25" customFormat="1" ht="15.75">
      <c r="A41" s="37" t="s">
        <v>737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9.75" customHeight="1">
      <c r="A42" s="305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</row>
    <row r="43" spans="1:20" ht="18.75">
      <c r="A43" s="411" t="s">
        <v>300</v>
      </c>
      <c r="B43" s="410"/>
      <c r="C43" s="410"/>
      <c r="D43" s="410"/>
      <c r="E43" s="626">
        <v>1996</v>
      </c>
      <c r="F43" s="626">
        <v>1997</v>
      </c>
      <c r="G43" s="626">
        <v>1998</v>
      </c>
      <c r="H43" s="626">
        <v>1999</v>
      </c>
      <c r="I43" s="411">
        <v>2000</v>
      </c>
      <c r="J43" s="411">
        <v>2001</v>
      </c>
      <c r="K43" s="411">
        <v>2002</v>
      </c>
      <c r="L43" s="411">
        <v>2003</v>
      </c>
      <c r="M43" s="411">
        <v>2004</v>
      </c>
      <c r="N43" s="411">
        <v>2005</v>
      </c>
      <c r="O43" s="411">
        <v>2006</v>
      </c>
      <c r="P43" s="413" t="s">
        <v>125</v>
      </c>
      <c r="Q43" s="413" t="s">
        <v>627</v>
      </c>
      <c r="R43" s="413" t="s">
        <v>36</v>
      </c>
      <c r="S43" s="413" t="s">
        <v>671</v>
      </c>
      <c r="T43" s="413" t="s">
        <v>672</v>
      </c>
    </row>
    <row r="44" spans="1:20" ht="15">
      <c r="A44" s="180" t="s">
        <v>294</v>
      </c>
      <c r="E44" s="623">
        <v>1108</v>
      </c>
      <c r="F44" s="623">
        <v>1270</v>
      </c>
      <c r="G44" s="623">
        <v>1212</v>
      </c>
      <c r="H44" s="623">
        <v>1199</v>
      </c>
      <c r="I44" s="461">
        <v>1219</v>
      </c>
      <c r="J44" s="461">
        <v>1395</v>
      </c>
      <c r="K44" s="462">
        <v>1410</v>
      </c>
      <c r="L44" s="462">
        <v>1347</v>
      </c>
      <c r="M44" s="462">
        <v>1481</v>
      </c>
      <c r="N44" s="462">
        <v>1416</v>
      </c>
      <c r="O44" s="462">
        <v>1178</v>
      </c>
      <c r="P44" s="463" t="s">
        <v>189</v>
      </c>
      <c r="Q44" s="463" t="s">
        <v>189</v>
      </c>
      <c r="R44" s="463" t="s">
        <v>189</v>
      </c>
      <c r="S44" s="463" t="s">
        <v>189</v>
      </c>
      <c r="T44" s="463" t="s">
        <v>189</v>
      </c>
    </row>
    <row r="45" spans="1:20" ht="15">
      <c r="A45" s="180" t="s">
        <v>295</v>
      </c>
      <c r="E45" s="623">
        <v>978</v>
      </c>
      <c r="F45" s="623">
        <v>1045</v>
      </c>
      <c r="G45" s="623">
        <v>961</v>
      </c>
      <c r="H45" s="623">
        <v>1155</v>
      </c>
      <c r="I45" s="461">
        <v>1106</v>
      </c>
      <c r="J45" s="461">
        <v>1108</v>
      </c>
      <c r="K45" s="462">
        <v>1170</v>
      </c>
      <c r="L45" s="462">
        <v>1111</v>
      </c>
      <c r="M45" s="462">
        <v>1341</v>
      </c>
      <c r="N45" s="462">
        <v>1434</v>
      </c>
      <c r="O45" s="462">
        <v>2074</v>
      </c>
      <c r="P45" s="463" t="s">
        <v>189</v>
      </c>
      <c r="Q45" s="463" t="s">
        <v>189</v>
      </c>
      <c r="R45" s="463" t="s">
        <v>189</v>
      </c>
      <c r="S45" s="463" t="s">
        <v>189</v>
      </c>
      <c r="T45" s="463" t="s">
        <v>189</v>
      </c>
    </row>
    <row r="46" spans="1:20" ht="15">
      <c r="A46" s="180" t="s">
        <v>296</v>
      </c>
      <c r="E46" s="623">
        <v>50</v>
      </c>
      <c r="F46" s="623">
        <v>33</v>
      </c>
      <c r="G46" s="623">
        <v>27</v>
      </c>
      <c r="H46" s="623">
        <v>37</v>
      </c>
      <c r="I46" s="461">
        <v>24</v>
      </c>
      <c r="J46" s="461">
        <v>30</v>
      </c>
      <c r="K46" s="462">
        <v>34</v>
      </c>
      <c r="L46" s="462">
        <v>31</v>
      </c>
      <c r="M46" s="462">
        <v>64</v>
      </c>
      <c r="N46" s="462">
        <v>53</v>
      </c>
      <c r="O46" s="462">
        <v>99</v>
      </c>
      <c r="P46" s="462">
        <v>92</v>
      </c>
      <c r="Q46" s="462">
        <v>56</v>
      </c>
      <c r="R46" s="462">
        <v>89</v>
      </c>
      <c r="S46" s="462">
        <v>62</v>
      </c>
      <c r="T46" s="462">
        <v>41</v>
      </c>
    </row>
    <row r="47" spans="1:20" ht="15.75">
      <c r="A47" s="400" t="s">
        <v>301</v>
      </c>
      <c r="E47" s="624">
        <v>2136</v>
      </c>
      <c r="F47" s="624">
        <v>2348</v>
      </c>
      <c r="G47" s="624">
        <v>2200</v>
      </c>
      <c r="H47" s="624">
        <v>2393</v>
      </c>
      <c r="I47" s="464">
        <v>2349</v>
      </c>
      <c r="J47" s="464">
        <v>2533</v>
      </c>
      <c r="K47" s="465">
        <v>2614</v>
      </c>
      <c r="L47" s="465">
        <v>2524</v>
      </c>
      <c r="M47" s="465">
        <v>2680</v>
      </c>
      <c r="N47" s="465">
        <v>2903</v>
      </c>
      <c r="O47" s="462">
        <v>3351</v>
      </c>
      <c r="P47" s="462">
        <v>3383</v>
      </c>
      <c r="Q47" s="462">
        <v>3583</v>
      </c>
      <c r="R47" s="462">
        <v>3765</v>
      </c>
      <c r="S47" s="462">
        <v>3669</v>
      </c>
      <c r="T47" s="462">
        <v>3910</v>
      </c>
    </row>
    <row r="48" spans="1:20" ht="15.75">
      <c r="A48" s="400"/>
      <c r="E48" s="624"/>
      <c r="F48" s="624"/>
      <c r="G48" s="624"/>
      <c r="H48" s="624"/>
      <c r="I48" s="464"/>
      <c r="J48" s="464"/>
      <c r="K48" s="465"/>
      <c r="L48" s="465"/>
      <c r="M48" s="465"/>
      <c r="N48" s="465"/>
      <c r="O48" s="462" t="s">
        <v>292</v>
      </c>
      <c r="P48" s="462"/>
      <c r="Q48" s="462"/>
      <c r="R48" s="462"/>
      <c r="S48" s="462"/>
      <c r="T48" s="462"/>
    </row>
    <row r="49" spans="1:24" ht="15">
      <c r="A49" s="180" t="s">
        <v>307</v>
      </c>
      <c r="E49" s="616" t="s">
        <v>189</v>
      </c>
      <c r="F49" s="616" t="s">
        <v>189</v>
      </c>
      <c r="G49" s="616" t="s">
        <v>189</v>
      </c>
      <c r="H49" s="616" t="s">
        <v>189</v>
      </c>
      <c r="I49" s="461">
        <v>1351</v>
      </c>
      <c r="J49" s="461">
        <v>1480</v>
      </c>
      <c r="K49" s="462">
        <v>1636</v>
      </c>
      <c r="L49" s="462">
        <v>1197</v>
      </c>
      <c r="M49" s="462">
        <v>2037</v>
      </c>
      <c r="N49" s="462">
        <v>1897</v>
      </c>
      <c r="O49" s="462">
        <v>2591</v>
      </c>
      <c r="P49" s="463" t="s">
        <v>189</v>
      </c>
      <c r="Q49" s="463" t="s">
        <v>189</v>
      </c>
      <c r="R49" s="463" t="s">
        <v>189</v>
      </c>
      <c r="S49" s="463" t="s">
        <v>189</v>
      </c>
      <c r="T49" s="463" t="s">
        <v>189</v>
      </c>
      <c r="V49" s="462" t="s">
        <v>292</v>
      </c>
      <c r="W49" s="462" t="s">
        <v>292</v>
      </c>
      <c r="X49" s="462" t="s">
        <v>292</v>
      </c>
    </row>
    <row r="50" spans="5:24" ht="15">
      <c r="E50" s="616"/>
      <c r="F50" s="616"/>
      <c r="G50" s="616"/>
      <c r="H50" s="616"/>
      <c r="I50" s="461"/>
      <c r="J50" s="461"/>
      <c r="K50" s="462"/>
      <c r="L50" s="462"/>
      <c r="M50" s="462"/>
      <c r="N50" s="462"/>
      <c r="O50" s="462" t="s">
        <v>292</v>
      </c>
      <c r="P50" s="462"/>
      <c r="Q50" s="462"/>
      <c r="R50" s="462"/>
      <c r="S50" s="462"/>
      <c r="T50" s="462"/>
      <c r="V50" s="462" t="s">
        <v>292</v>
      </c>
      <c r="W50" s="462" t="s">
        <v>292</v>
      </c>
      <c r="X50" s="462" t="s">
        <v>292</v>
      </c>
    </row>
    <row r="51" spans="1:20" ht="15">
      <c r="A51" s="180" t="s">
        <v>297</v>
      </c>
      <c r="E51" s="623">
        <v>2378</v>
      </c>
      <c r="F51" s="623">
        <v>2724</v>
      </c>
      <c r="G51" s="623">
        <v>2202</v>
      </c>
      <c r="H51" s="623">
        <v>3032</v>
      </c>
      <c r="I51" s="461">
        <v>2475</v>
      </c>
      <c r="J51" s="461">
        <v>4267</v>
      </c>
      <c r="K51" s="462">
        <v>6670</v>
      </c>
      <c r="L51" s="462">
        <v>13591</v>
      </c>
      <c r="M51" s="462">
        <v>11696</v>
      </c>
      <c r="N51" s="462">
        <v>12810</v>
      </c>
      <c r="O51" s="462">
        <v>13317</v>
      </c>
      <c r="P51" s="463" t="s">
        <v>189</v>
      </c>
      <c r="Q51" s="463" t="s">
        <v>189</v>
      </c>
      <c r="R51" s="463" t="s">
        <v>189</v>
      </c>
      <c r="S51" s="463" t="s">
        <v>189</v>
      </c>
      <c r="T51" s="463" t="s">
        <v>189</v>
      </c>
    </row>
    <row r="52" spans="1:20" ht="15">
      <c r="A52" s="180" t="s">
        <v>298</v>
      </c>
      <c r="E52" s="623">
        <v>1054</v>
      </c>
      <c r="F52" s="623">
        <v>951</v>
      </c>
      <c r="G52" s="623">
        <v>938</v>
      </c>
      <c r="H52" s="623">
        <v>1032</v>
      </c>
      <c r="I52" s="461">
        <v>1079</v>
      </c>
      <c r="J52" s="461">
        <v>890</v>
      </c>
      <c r="K52" s="462">
        <v>1214</v>
      </c>
      <c r="L52" s="462">
        <v>1123</v>
      </c>
      <c r="M52" s="462">
        <v>1148</v>
      </c>
      <c r="N52" s="462">
        <v>1273</v>
      </c>
      <c r="O52" s="462">
        <v>970</v>
      </c>
      <c r="P52" s="463" t="s">
        <v>189</v>
      </c>
      <c r="Q52" s="463" t="s">
        <v>189</v>
      </c>
      <c r="R52" s="463" t="s">
        <v>189</v>
      </c>
      <c r="S52" s="463" t="s">
        <v>189</v>
      </c>
      <c r="T52" s="463" t="s">
        <v>189</v>
      </c>
    </row>
    <row r="53" spans="1:20" ht="15">
      <c r="A53" s="406" t="s">
        <v>299</v>
      </c>
      <c r="B53" s="406"/>
      <c r="C53" s="406"/>
      <c r="D53" s="406"/>
      <c r="E53" s="625">
        <v>58</v>
      </c>
      <c r="F53" s="625">
        <v>70</v>
      </c>
      <c r="G53" s="625">
        <v>52</v>
      </c>
      <c r="H53" s="625">
        <v>53</v>
      </c>
      <c r="I53" s="479">
        <v>54</v>
      </c>
      <c r="J53" s="479">
        <v>84</v>
      </c>
      <c r="K53" s="480">
        <v>78</v>
      </c>
      <c r="L53" s="480">
        <v>60</v>
      </c>
      <c r="M53" s="480">
        <v>58</v>
      </c>
      <c r="N53" s="480">
        <v>86</v>
      </c>
      <c r="O53" s="480">
        <v>69</v>
      </c>
      <c r="P53" s="481" t="s">
        <v>189</v>
      </c>
      <c r="Q53" s="481" t="s">
        <v>189</v>
      </c>
      <c r="R53" s="481" t="s">
        <v>189</v>
      </c>
      <c r="S53" s="481" t="s">
        <v>189</v>
      </c>
      <c r="T53" s="481" t="s">
        <v>189</v>
      </c>
    </row>
    <row r="54" spans="1:19" s="184" customFormat="1" ht="20.25" customHeight="1">
      <c r="A54" s="476" t="s">
        <v>600</v>
      </c>
      <c r="B54" s="67"/>
      <c r="C54" s="67"/>
      <c r="D54" s="67"/>
      <c r="E54" s="67"/>
      <c r="F54" s="67"/>
      <c r="G54" s="67"/>
      <c r="H54" s="67"/>
      <c r="I54" s="482"/>
      <c r="J54" s="482"/>
      <c r="K54" s="482"/>
      <c r="L54" s="482"/>
      <c r="M54" s="482"/>
      <c r="N54" s="483"/>
      <c r="O54" s="483"/>
      <c r="P54" s="483"/>
      <c r="Q54" s="483"/>
      <c r="R54" s="483"/>
      <c r="S54" s="484"/>
    </row>
    <row r="55" s="184" customFormat="1" ht="13.5" customHeight="1">
      <c r="A55" s="184" t="s">
        <v>674</v>
      </c>
    </row>
    <row r="56" spans="1:13" s="184" customFormat="1" ht="12.75">
      <c r="A56" s="473" t="s">
        <v>673</v>
      </c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</row>
    <row r="57" ht="82.5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&amp;R&amp;"Arial,Bold"&amp;14WATER TRANSPORT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6" max="6" width="10.57421875" style="0" bestFit="1" customWidth="1"/>
    <col min="8" max="8" width="8.7109375" style="0" customWidth="1"/>
    <col min="14" max="14" width="6.140625" style="0" customWidth="1"/>
    <col min="18" max="18" width="5.00390625" style="0" customWidth="1"/>
  </cols>
  <sheetData>
    <row r="1" s="180" customFormat="1" ht="15.75">
      <c r="B1" s="378" t="s">
        <v>10</v>
      </c>
    </row>
    <row r="2" ht="18">
      <c r="A2" s="79"/>
    </row>
    <row r="96" spans="1:6" ht="18">
      <c r="A96" s="79"/>
      <c r="D96" t="s">
        <v>285</v>
      </c>
      <c r="E96" t="s">
        <v>228</v>
      </c>
      <c r="F96" s="124" t="s">
        <v>286</v>
      </c>
    </row>
    <row r="97" spans="2:10" ht="15">
      <c r="B97" s="11" t="s">
        <v>145</v>
      </c>
      <c r="D97" s="556">
        <f>SUM('T9.15'!U31:U37)</f>
        <v>164.748</v>
      </c>
      <c r="E97" s="556">
        <f>SUM('T9.15'!U71:U77)</f>
        <v>35.874</v>
      </c>
      <c r="F97" s="557">
        <f>SUM('T9.15 (cont)'!V32:V38)</f>
        <v>3.447</v>
      </c>
      <c r="J97" s="1"/>
    </row>
    <row r="98" spans="2:10" ht="15">
      <c r="B98" s="107" t="s">
        <v>477</v>
      </c>
      <c r="D98" s="556">
        <f>'T9.15'!U30</f>
        <v>58.092</v>
      </c>
      <c r="E98" s="556">
        <f>'T9.15'!U70</f>
        <v>23.383</v>
      </c>
      <c r="F98" s="557">
        <f>'T9.15 (cont)'!V31</f>
        <v>2.15</v>
      </c>
      <c r="J98" s="1"/>
    </row>
    <row r="99" spans="2:6" ht="15">
      <c r="B99" s="1" t="s">
        <v>235</v>
      </c>
      <c r="D99" s="556">
        <f>'T9.15'!U28</f>
        <v>53.606</v>
      </c>
      <c r="E99" s="556">
        <f>'T9.15'!U68</f>
        <v>19.034</v>
      </c>
      <c r="F99" s="557">
        <f>'T9.15 (cont)'!V29</f>
        <v>1.071</v>
      </c>
    </row>
    <row r="100" spans="2:6" ht="15">
      <c r="B100" s="1" t="s">
        <v>234</v>
      </c>
      <c r="D100" s="556">
        <f>'T9.15'!U27</f>
        <v>57.924</v>
      </c>
      <c r="E100" s="556">
        <f>'T9.15'!U67</f>
        <v>12.722</v>
      </c>
      <c r="F100" s="557">
        <f>'T9.15 (cont)'!V28</f>
        <v>1.439</v>
      </c>
    </row>
    <row r="101" spans="2:6" ht="15">
      <c r="B101" s="1" t="s">
        <v>226</v>
      </c>
      <c r="D101" s="556">
        <f>'T9.15'!U26</f>
        <v>230.949</v>
      </c>
      <c r="E101" s="556">
        <f>'T9.15'!U66</f>
        <v>67.778</v>
      </c>
      <c r="F101" s="557">
        <f>'T9.15 (cont)'!V27</f>
        <v>15.885</v>
      </c>
    </row>
    <row r="102" spans="2:6" ht="15">
      <c r="B102" s="11" t="s">
        <v>225</v>
      </c>
      <c r="D102" s="556">
        <f>'T9.15'!U25</f>
        <v>182.269</v>
      </c>
      <c r="E102" s="556">
        <f>'T9.15'!U65</f>
        <v>67.64</v>
      </c>
      <c r="F102" s="557">
        <f>'T9.15 (cont)'!V26</f>
        <v>7.956</v>
      </c>
    </row>
    <row r="103" spans="2:6" ht="15">
      <c r="B103" s="1" t="s">
        <v>224</v>
      </c>
      <c r="D103" s="556">
        <f>'T9.15'!U24</f>
        <v>220.782</v>
      </c>
      <c r="E103" s="556">
        <f>'T9.15'!U64</f>
        <v>52.441</v>
      </c>
      <c r="F103" s="557">
        <f>'T9.15 (cont)'!V25</f>
        <v>1.921</v>
      </c>
    </row>
    <row r="104" spans="2:6" ht="15">
      <c r="B104" s="1" t="s">
        <v>287</v>
      </c>
      <c r="D104" s="556">
        <f>'T9.15'!U23</f>
        <v>61.621</v>
      </c>
      <c r="E104" s="556">
        <f>'T9.15'!U63</f>
        <v>19.275</v>
      </c>
      <c r="F104" s="557">
        <f>'T9.15 (cont)'!V24</f>
        <v>1.275</v>
      </c>
    </row>
    <row r="105" spans="2:6" ht="15">
      <c r="B105" s="1" t="s">
        <v>221</v>
      </c>
      <c r="D105" s="556">
        <f>'T9.15'!U21</f>
        <v>50.335</v>
      </c>
      <c r="E105" s="556">
        <f>'T9.15'!U61</f>
        <v>15.186</v>
      </c>
      <c r="F105" s="557">
        <f>'T9.15 (cont)'!V22</f>
        <v>2.17</v>
      </c>
    </row>
    <row r="106" spans="2:6" ht="15">
      <c r="B106" s="1" t="s">
        <v>220</v>
      </c>
      <c r="D106" s="556">
        <f>'T9.15'!U20</f>
        <v>221.657</v>
      </c>
      <c r="E106" s="556">
        <f>'T9.15'!U60</f>
        <v>5.592</v>
      </c>
      <c r="F106" s="557">
        <f>'T9.15 (cont)'!V21</f>
        <v>0.873</v>
      </c>
    </row>
    <row r="107" spans="2:6" ht="15">
      <c r="B107" s="1" t="s">
        <v>219</v>
      </c>
      <c r="D107" s="556">
        <f>'T9.15'!U19</f>
        <v>117.1</v>
      </c>
      <c r="E107" s="556">
        <f>'T9.15'!U59</f>
        <v>46.15</v>
      </c>
      <c r="F107" s="557">
        <f>'T9.15 (cont)'!V20</f>
        <v>3.844</v>
      </c>
    </row>
    <row r="108" spans="2:6" ht="15">
      <c r="B108" s="11" t="s">
        <v>218</v>
      </c>
      <c r="D108" s="556">
        <f>'T9.15'!U18</f>
        <v>543.733</v>
      </c>
      <c r="E108" s="556">
        <f>'T9.15'!U58</f>
        <v>108.925</v>
      </c>
      <c r="F108" s="557">
        <f>'T9.15 (cont)'!V19</f>
        <v>11.337</v>
      </c>
    </row>
    <row r="109" spans="2:9" ht="15">
      <c r="B109" s="11" t="s">
        <v>293</v>
      </c>
      <c r="D109" s="556">
        <f>'T9.15'!U17</f>
        <v>174.097</v>
      </c>
      <c r="E109" s="556">
        <f>'T9.15'!U57</f>
        <v>56.043</v>
      </c>
      <c r="F109" s="557">
        <f>'T9.15 (cont)'!V18</f>
        <v>10.858</v>
      </c>
      <c r="H109" s="11"/>
      <c r="I109" s="11"/>
    </row>
    <row r="110" spans="8:9" ht="12.75">
      <c r="H110" s="11"/>
      <c r="I110" s="107"/>
    </row>
    <row r="111" spans="8:9" ht="12.75">
      <c r="H111" s="1"/>
      <c r="I111" s="1"/>
    </row>
    <row r="112" spans="2:9" ht="12.75">
      <c r="B112" s="6"/>
      <c r="H112" s="1"/>
      <c r="I112" s="1"/>
    </row>
    <row r="113" spans="2:9" ht="15">
      <c r="B113" s="1" t="s">
        <v>145</v>
      </c>
      <c r="D113" s="556" t="str">
        <f>'T9.15'!U13</f>
        <v>-</v>
      </c>
      <c r="E113" s="556">
        <f>'T9.15'!U53</f>
        <v>0</v>
      </c>
      <c r="F113" s="557">
        <f>'T9.15 (cont)'!V14</f>
        <v>0</v>
      </c>
      <c r="H113" s="1"/>
      <c r="I113" s="1"/>
    </row>
    <row r="114" spans="2:9" ht="15">
      <c r="B114" s="1" t="s">
        <v>217</v>
      </c>
      <c r="D114" s="556">
        <f>'T9.15'!U12</f>
        <v>697.713</v>
      </c>
      <c r="E114" s="556">
        <f>'T9.15'!U52</f>
        <v>136.028</v>
      </c>
      <c r="F114" s="557">
        <f>'T9.15 (cont)'!V13</f>
        <v>5.377</v>
      </c>
      <c r="H114" s="1"/>
      <c r="I114" s="11"/>
    </row>
    <row r="115" spans="2:9" ht="15">
      <c r="B115" s="1" t="s">
        <v>289</v>
      </c>
      <c r="D115" s="556">
        <f>'T9.15'!U11</f>
        <v>46.888</v>
      </c>
      <c r="E115" s="556">
        <f>'T9.15'!U51</f>
        <v>14.692</v>
      </c>
      <c r="F115" s="557">
        <f>'T9.15 (cont)'!V12</f>
        <v>0.475</v>
      </c>
      <c r="H115" s="1"/>
      <c r="I115" s="1"/>
    </row>
    <row r="116" spans="2:9" ht="15">
      <c r="B116" s="1" t="s">
        <v>216</v>
      </c>
      <c r="D116" s="556">
        <f>'T9.15'!U10</f>
        <v>692.438</v>
      </c>
      <c r="E116" s="556">
        <f>'T9.15'!U50</f>
        <v>127.854</v>
      </c>
      <c r="F116" s="557">
        <f>'T9.15 (cont)'!V11</f>
        <v>11.441</v>
      </c>
      <c r="H116" s="1"/>
      <c r="I116" s="1"/>
    </row>
    <row r="117" spans="2:9" ht="15">
      <c r="B117" s="95" t="s">
        <v>288</v>
      </c>
      <c r="D117" s="556">
        <f>'T9.15'!U9</f>
        <v>61.657</v>
      </c>
      <c r="E117" s="556">
        <f>'T9.15'!U49</f>
        <v>19.676</v>
      </c>
      <c r="F117" s="557">
        <f>'T9.15 (cont)'!V10</f>
        <v>0.564</v>
      </c>
      <c r="H117" s="11"/>
      <c r="I117" s="1"/>
    </row>
    <row r="118" spans="2:9" ht="15">
      <c r="B118" s="1" t="s">
        <v>215</v>
      </c>
      <c r="D118" s="556">
        <f>'T9.15'!U8</f>
        <v>227.996</v>
      </c>
      <c r="E118" s="556">
        <f>'T9.15'!U48</f>
        <v>80.924</v>
      </c>
      <c r="F118" s="557">
        <f>'T9.15 (cont)'!V9</f>
        <v>15.048</v>
      </c>
      <c r="H118" s="1"/>
      <c r="I118" s="1"/>
    </row>
    <row r="119" spans="2:9" ht="15">
      <c r="B119" s="1" t="s">
        <v>214</v>
      </c>
      <c r="D119" s="556">
        <f>'T9.15'!U7</f>
        <v>711.537</v>
      </c>
      <c r="E119" s="556">
        <f>'T9.15'!U47</f>
        <v>152.859</v>
      </c>
      <c r="F119" s="557">
        <f>'T9.15 (cont)'!V8</f>
        <v>14.134</v>
      </c>
      <c r="H119" s="1"/>
      <c r="I119" s="1"/>
    </row>
    <row r="120" spans="2:9" ht="15">
      <c r="B120" s="11" t="s">
        <v>212</v>
      </c>
      <c r="D120" s="556">
        <f>'T9.15'!U6</f>
        <v>409.236</v>
      </c>
      <c r="E120" s="556">
        <f>'T9.15'!U46</f>
        <v>25.849</v>
      </c>
      <c r="F120" s="557">
        <f>'T9.15 (cont)'!V6</f>
        <v>1.522</v>
      </c>
      <c r="H120" s="1"/>
      <c r="I120" s="11"/>
    </row>
    <row r="121" ht="12.75">
      <c r="H121" s="11"/>
    </row>
    <row r="130" spans="2:8" ht="12.75">
      <c r="B130" s="105"/>
      <c r="F130" s="119"/>
      <c r="G130" s="119"/>
      <c r="H130" s="119"/>
    </row>
    <row r="131" spans="2:8" ht="12.75">
      <c r="B131" s="69"/>
      <c r="F131" s="7"/>
      <c r="G131" s="7"/>
      <c r="H131" s="7"/>
    </row>
    <row r="132" spans="2:8" ht="12.75">
      <c r="B132" s="120"/>
      <c r="F132" s="7"/>
      <c r="G132" s="7"/>
      <c r="H132" s="7"/>
    </row>
    <row r="133" spans="6:8" ht="12.75">
      <c r="F133" s="7"/>
      <c r="G133" s="7"/>
      <c r="H133" s="7"/>
    </row>
    <row r="134" spans="6:8" ht="12.75">
      <c r="F134" s="7"/>
      <c r="G134" s="7"/>
      <c r="H134" s="7"/>
    </row>
    <row r="135" spans="6:8" ht="12.75">
      <c r="F135" s="7"/>
      <c r="G135" s="7"/>
      <c r="H135" s="7"/>
    </row>
    <row r="136" spans="6:8" ht="12.75">
      <c r="F136" s="7"/>
      <c r="G136" s="7"/>
      <c r="H136" s="7"/>
    </row>
    <row r="137" spans="6:8" ht="12.75">
      <c r="F137" s="7"/>
      <c r="G137" s="7"/>
      <c r="H137" s="7"/>
    </row>
    <row r="138" spans="6:8" ht="12.75">
      <c r="F138" s="7"/>
      <c r="G138" s="7"/>
      <c r="H138" s="7"/>
    </row>
    <row r="139" spans="6:8" ht="12.75">
      <c r="F139" s="7"/>
      <c r="G139" s="7"/>
      <c r="H139" s="7"/>
    </row>
    <row r="140" spans="6:8" ht="12.75">
      <c r="F140" s="7"/>
      <c r="G140" s="7"/>
      <c r="H140" s="7"/>
    </row>
    <row r="141" spans="6:8" ht="12.75">
      <c r="F141" s="7"/>
      <c r="G141" s="7"/>
      <c r="H141" s="7"/>
    </row>
    <row r="144" spans="2:7" ht="27.75" customHeight="1">
      <c r="B144" s="105"/>
      <c r="D144" s="119"/>
      <c r="E144" s="121"/>
      <c r="F144" s="119"/>
      <c r="G144" s="121"/>
    </row>
    <row r="145" spans="4:7" ht="11.25" customHeight="1">
      <c r="D145" s="121"/>
      <c r="E145" s="122"/>
      <c r="F145" s="122"/>
      <c r="G145" s="122"/>
    </row>
    <row r="146" spans="4:7" ht="12.75">
      <c r="D146" s="121"/>
      <c r="E146" s="122"/>
      <c r="F146" s="122"/>
      <c r="G146" s="122"/>
    </row>
    <row r="147" spans="4:7" ht="12.75">
      <c r="D147" s="121"/>
      <c r="E147" s="122"/>
      <c r="F147" s="122"/>
      <c r="G147" s="122"/>
    </row>
    <row r="148" spans="4:7" ht="12.75">
      <c r="D148" s="121"/>
      <c r="E148" s="122"/>
      <c r="F148" s="122"/>
      <c r="G148" s="122"/>
    </row>
    <row r="149" spans="4:7" ht="12.75">
      <c r="D149" s="121"/>
      <c r="E149" s="122"/>
      <c r="F149" s="122"/>
      <c r="G149" s="122"/>
    </row>
    <row r="150" spans="4:7" ht="12.75">
      <c r="D150" s="121"/>
      <c r="E150" s="121"/>
      <c r="F150" s="121"/>
      <c r="G150" s="121"/>
    </row>
    <row r="151" spans="4:7" ht="12.75">
      <c r="D151" s="121"/>
      <c r="E151" s="122"/>
      <c r="F151" s="122"/>
      <c r="G151" s="122"/>
    </row>
    <row r="152" spans="4:7" ht="12.75">
      <c r="D152" s="121"/>
      <c r="E152" s="122"/>
      <c r="F152" s="122"/>
      <c r="G152" s="122"/>
    </row>
    <row r="153" spans="4:7" ht="12.75">
      <c r="D153" s="121"/>
      <c r="E153" s="122"/>
      <c r="F153" s="122"/>
      <c r="G153" s="122"/>
    </row>
    <row r="154" spans="4:7" ht="12.75">
      <c r="D154" s="121"/>
      <c r="E154" s="122"/>
      <c r="F154" s="122"/>
      <c r="G154" s="122"/>
    </row>
    <row r="155" spans="4:7" ht="12.75">
      <c r="D155" s="121"/>
      <c r="E155" s="121"/>
      <c r="F155" s="121"/>
      <c r="G155" s="121"/>
    </row>
    <row r="156" spans="4:7" ht="12.75">
      <c r="D156" s="123"/>
      <c r="E156" s="123"/>
      <c r="F156" s="123"/>
      <c r="G156" s="123"/>
    </row>
    <row r="157" spans="4:7" ht="12.75">
      <c r="D157" s="123"/>
      <c r="E157" s="123"/>
      <c r="F157" s="123"/>
      <c r="G157" s="12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8" r:id="rId2"/>
  <headerFooter alignWithMargins="0">
    <oddHeader>&amp;R&amp;"Arial,Bold"&amp;20WATER TRANSPORT</oddHeader>
  </headerFooter>
  <rowBreaks count="1" manualBreakCount="1">
    <brk id="94" max="255" man="1"/>
  </rowBreaks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25.57421875" style="0" customWidth="1"/>
  </cols>
  <sheetData>
    <row r="1" ht="12.75">
      <c r="A1" s="105" t="s">
        <v>487</v>
      </c>
    </row>
    <row r="2" ht="12.75">
      <c r="A2" s="105" t="s">
        <v>485</v>
      </c>
    </row>
    <row r="3" ht="12.75">
      <c r="A3" s="105" t="s">
        <v>488</v>
      </c>
    </row>
    <row r="4" ht="12.75">
      <c r="A4" s="105" t="s">
        <v>486</v>
      </c>
    </row>
    <row r="5" ht="12.75">
      <c r="A5" s="105"/>
    </row>
    <row r="6" ht="12.75">
      <c r="A6" s="105" t="s">
        <v>194</v>
      </c>
    </row>
    <row r="7" spans="1:2" ht="15">
      <c r="A7" s="64"/>
      <c r="B7" s="149" t="s">
        <v>186</v>
      </c>
    </row>
    <row r="8" spans="1:2" ht="15">
      <c r="A8" s="1" t="s">
        <v>480</v>
      </c>
      <c r="B8" s="194" t="s">
        <v>189</v>
      </c>
    </row>
    <row r="9" spans="1:2" ht="15">
      <c r="A9" s="1" t="s">
        <v>290</v>
      </c>
      <c r="B9" s="39" t="s">
        <v>189</v>
      </c>
    </row>
    <row r="10" spans="1:2" ht="15">
      <c r="A10" s="101" t="s">
        <v>448</v>
      </c>
      <c r="B10" s="125" t="s">
        <v>189</v>
      </c>
    </row>
    <row r="11" spans="1:2" ht="15">
      <c r="A11" s="101" t="s">
        <v>445</v>
      </c>
      <c r="B11" s="125" t="s">
        <v>189</v>
      </c>
    </row>
    <row r="12" spans="1:2" ht="15">
      <c r="A12" s="101" t="s">
        <v>450</v>
      </c>
      <c r="B12" s="125" t="s">
        <v>189</v>
      </c>
    </row>
    <row r="13" spans="1:2" ht="15">
      <c r="A13" s="1" t="s">
        <v>483</v>
      </c>
      <c r="B13" s="196" t="s">
        <v>152</v>
      </c>
    </row>
    <row r="14" spans="1:5" ht="15">
      <c r="A14" s="101" t="s">
        <v>451</v>
      </c>
      <c r="B14" s="206">
        <v>1319</v>
      </c>
      <c r="C14" s="69"/>
      <c r="D14" s="10"/>
      <c r="E14" s="202"/>
    </row>
    <row r="15" spans="1:5" ht="15">
      <c r="A15" s="1" t="s">
        <v>263</v>
      </c>
      <c r="B15" s="207">
        <v>1254.7</v>
      </c>
      <c r="C15" s="107"/>
      <c r="D15" s="10"/>
      <c r="E15" s="201"/>
    </row>
    <row r="16" spans="1:5" ht="15">
      <c r="A16" s="1" t="s">
        <v>214</v>
      </c>
      <c r="B16" s="155">
        <v>764.159</v>
      </c>
      <c r="C16" s="107"/>
      <c r="E16" s="201"/>
    </row>
    <row r="17" spans="1:5" ht="15">
      <c r="A17" s="1" t="s">
        <v>216</v>
      </c>
      <c r="B17" s="155">
        <v>716.631</v>
      </c>
      <c r="C17" s="107"/>
      <c r="E17" s="201"/>
    </row>
    <row r="18" spans="1:5" ht="15">
      <c r="A18" s="1" t="s">
        <v>217</v>
      </c>
      <c r="B18" s="155">
        <v>682.936</v>
      </c>
      <c r="C18" s="107"/>
      <c r="E18" s="202"/>
    </row>
    <row r="19" spans="1:5" ht="15">
      <c r="A19" s="11" t="s">
        <v>218</v>
      </c>
      <c r="B19" s="155">
        <v>653.313</v>
      </c>
      <c r="C19" s="139"/>
      <c r="E19" s="201"/>
    </row>
    <row r="20" spans="1:5" ht="15">
      <c r="A20" s="11" t="s">
        <v>479</v>
      </c>
      <c r="B20" s="155">
        <v>619.776</v>
      </c>
      <c r="C20" s="107"/>
      <c r="D20" s="10"/>
      <c r="E20" s="201"/>
    </row>
    <row r="21" spans="1:5" ht="15">
      <c r="A21" s="101" t="s">
        <v>446</v>
      </c>
      <c r="B21" s="206">
        <v>595</v>
      </c>
      <c r="C21" s="69"/>
      <c r="E21" s="202"/>
    </row>
    <row r="22" spans="1:5" ht="15">
      <c r="A22" s="101" t="s">
        <v>447</v>
      </c>
      <c r="B22" s="206">
        <v>303</v>
      </c>
      <c r="C22" s="69"/>
      <c r="E22" s="202"/>
    </row>
    <row r="23" spans="1:5" ht="15">
      <c r="A23" s="1" t="s">
        <v>215</v>
      </c>
      <c r="B23" s="155">
        <v>268.377</v>
      </c>
      <c r="C23" s="107"/>
      <c r="E23" s="201"/>
    </row>
    <row r="24" spans="1:5" ht="15">
      <c r="A24" s="1" t="s">
        <v>220</v>
      </c>
      <c r="B24" s="155">
        <v>257.393</v>
      </c>
      <c r="C24" s="107"/>
      <c r="E24" s="201"/>
    </row>
    <row r="25" spans="1:5" ht="15">
      <c r="A25" s="1" t="s">
        <v>226</v>
      </c>
      <c r="B25" s="155">
        <v>188.945</v>
      </c>
      <c r="C25" s="107"/>
      <c r="D25" s="10"/>
      <c r="E25" s="202"/>
    </row>
    <row r="26" spans="1:5" ht="15">
      <c r="A26" s="1" t="s">
        <v>224</v>
      </c>
      <c r="B26" s="155">
        <v>188.32</v>
      </c>
      <c r="C26" s="156"/>
      <c r="D26" s="87"/>
      <c r="E26" s="204"/>
    </row>
    <row r="27" spans="1:5" ht="15">
      <c r="A27" s="11" t="s">
        <v>484</v>
      </c>
      <c r="B27" s="155">
        <v>152.047</v>
      </c>
      <c r="C27" s="156"/>
      <c r="D27" s="87"/>
      <c r="E27" s="204"/>
    </row>
    <row r="28" spans="1:5" ht="15">
      <c r="A28" s="11" t="s">
        <v>293</v>
      </c>
      <c r="B28" s="155">
        <v>148.047</v>
      </c>
      <c r="C28" s="69"/>
      <c r="E28" s="203"/>
    </row>
    <row r="29" spans="1:2" ht="15">
      <c r="A29" s="1" t="s">
        <v>219</v>
      </c>
      <c r="B29" s="155">
        <v>122.943</v>
      </c>
    </row>
    <row r="30" spans="1:2" ht="15">
      <c r="A30" s="101" t="s">
        <v>449</v>
      </c>
      <c r="B30" s="206">
        <v>120</v>
      </c>
    </row>
    <row r="31" spans="1:2" ht="15">
      <c r="A31" s="1" t="s">
        <v>238</v>
      </c>
      <c r="B31" s="155">
        <v>97.6</v>
      </c>
    </row>
    <row r="32" spans="1:2" ht="15">
      <c r="A32" s="11" t="s">
        <v>291</v>
      </c>
      <c r="B32" s="155">
        <v>77.7</v>
      </c>
    </row>
    <row r="33" spans="1:2" ht="15">
      <c r="A33" s="1" t="s">
        <v>279</v>
      </c>
      <c r="B33" s="208">
        <v>66.24</v>
      </c>
    </row>
    <row r="34" spans="1:2" ht="15">
      <c r="A34" s="1" t="s">
        <v>237</v>
      </c>
      <c r="B34" s="155">
        <v>64.3</v>
      </c>
    </row>
    <row r="35" spans="1:2" ht="15">
      <c r="A35" s="1" t="s">
        <v>236</v>
      </c>
      <c r="B35" s="155">
        <v>61.7</v>
      </c>
    </row>
    <row r="36" spans="1:2" ht="15">
      <c r="A36" s="11" t="s">
        <v>467</v>
      </c>
      <c r="B36" s="155">
        <v>56.06</v>
      </c>
    </row>
    <row r="37" spans="1:2" ht="15">
      <c r="A37" s="1" t="s">
        <v>234</v>
      </c>
      <c r="B37" s="155">
        <v>54.546</v>
      </c>
    </row>
    <row r="38" spans="1:2" ht="15">
      <c r="A38" s="1" t="s">
        <v>482</v>
      </c>
      <c r="B38" s="155">
        <v>53.964</v>
      </c>
    </row>
    <row r="39" spans="1:2" ht="15">
      <c r="A39" s="195" t="s">
        <v>481</v>
      </c>
      <c r="B39" s="155">
        <v>52.868</v>
      </c>
    </row>
    <row r="40" spans="1:2" ht="15">
      <c r="A40" s="179" t="s">
        <v>478</v>
      </c>
      <c r="B40" s="155">
        <v>51.75</v>
      </c>
    </row>
    <row r="41" spans="1:2" ht="15">
      <c r="A41" s="1" t="s">
        <v>235</v>
      </c>
      <c r="B41" s="155">
        <v>51.63</v>
      </c>
    </row>
    <row r="42" spans="1:2" ht="15">
      <c r="A42" s="43" t="s">
        <v>223</v>
      </c>
      <c r="B42" s="155">
        <v>45.939</v>
      </c>
    </row>
    <row r="43" spans="1:2" ht="15">
      <c r="A43" s="1" t="s">
        <v>221</v>
      </c>
      <c r="B43" s="155">
        <v>44.583</v>
      </c>
    </row>
    <row r="44" spans="1:2" ht="15">
      <c r="A44" s="1" t="s">
        <v>278</v>
      </c>
      <c r="B44" s="155">
        <v>20.4</v>
      </c>
    </row>
    <row r="45" spans="1:2" ht="15">
      <c r="A45" s="1" t="s">
        <v>468</v>
      </c>
      <c r="B45" s="208">
        <v>17.741</v>
      </c>
    </row>
    <row r="46" spans="1:2" ht="15">
      <c r="A46" s="1" t="s">
        <v>469</v>
      </c>
      <c r="B46" s="208">
        <v>12.175</v>
      </c>
    </row>
    <row r="47" spans="1:2" ht="15">
      <c r="A47" s="5" t="s">
        <v>302</v>
      </c>
      <c r="B47" s="167">
        <v>9.629</v>
      </c>
    </row>
    <row r="48" spans="1:2" ht="15">
      <c r="A48" t="s">
        <v>334</v>
      </c>
      <c r="B48" s="155">
        <v>3.01</v>
      </c>
    </row>
    <row r="49" spans="1:2" ht="15">
      <c r="A49" s="11" t="s">
        <v>453</v>
      </c>
      <c r="B49" s="155">
        <v>2.654</v>
      </c>
    </row>
    <row r="50" spans="1:2" ht="15">
      <c r="A50" s="1" t="s">
        <v>222</v>
      </c>
      <c r="B50" s="142"/>
    </row>
    <row r="51" spans="1:2" ht="14.25">
      <c r="A51" s="6" t="s">
        <v>267</v>
      </c>
      <c r="B51" s="13"/>
    </row>
    <row r="52" spans="1:2" ht="12.75">
      <c r="A52" s="22"/>
      <c r="B52" s="23"/>
    </row>
    <row r="53" spans="1:2" ht="12.75">
      <c r="A53" s="115" t="s">
        <v>308</v>
      </c>
      <c r="B53" s="23"/>
    </row>
    <row r="54" spans="1:2" ht="15">
      <c r="A54" s="107" t="s">
        <v>402</v>
      </c>
      <c r="B54" s="151"/>
    </row>
    <row r="55" ht="12.75">
      <c r="A55" s="22"/>
    </row>
    <row r="56" ht="14.25">
      <c r="A56" s="6" t="s">
        <v>403</v>
      </c>
    </row>
    <row r="57" ht="12.75">
      <c r="A57" s="1"/>
    </row>
    <row r="58" ht="12.75">
      <c r="A58" s="6" t="s">
        <v>466</v>
      </c>
    </row>
    <row r="59" ht="12.75">
      <c r="A59" s="1"/>
    </row>
    <row r="60" ht="12.75">
      <c r="A60" s="6" t="s">
        <v>240</v>
      </c>
    </row>
    <row r="61" ht="12.75">
      <c r="A61" s="11" t="s">
        <v>310</v>
      </c>
    </row>
    <row r="62" spans="1:2" ht="15">
      <c r="A62" s="11" t="s">
        <v>405</v>
      </c>
      <c r="B62" s="73"/>
    </row>
    <row r="63" spans="1:2" ht="15">
      <c r="A63" t="s">
        <v>404</v>
      </c>
      <c r="B63" s="142"/>
    </row>
    <row r="64" ht="15">
      <c r="B64" s="36"/>
    </row>
    <row r="65" spans="1:2" ht="15">
      <c r="A65" s="105" t="s">
        <v>333</v>
      </c>
      <c r="B65" s="36"/>
    </row>
    <row r="67" ht="12.75">
      <c r="A67" s="105" t="s">
        <v>398</v>
      </c>
    </row>
    <row r="68" spans="1:2" ht="15">
      <c r="A68" s="5"/>
      <c r="B68" s="151"/>
    </row>
    <row r="69" spans="1:2" ht="15">
      <c r="A69" s="105" t="s">
        <v>456</v>
      </c>
      <c r="B69" s="151"/>
    </row>
    <row r="70" ht="12.75">
      <c r="A70" s="11"/>
    </row>
    <row r="71" ht="12.75">
      <c r="A71" s="6" t="s">
        <v>454</v>
      </c>
    </row>
    <row r="72" ht="12.75">
      <c r="A72" s="187" t="s">
        <v>455</v>
      </c>
    </row>
    <row r="73" ht="12.75">
      <c r="A73" s="11"/>
    </row>
    <row r="74" ht="14.25">
      <c r="A74" s="6" t="s">
        <v>401</v>
      </c>
    </row>
    <row r="75" spans="1:2" ht="15">
      <c r="A75" s="5" t="s">
        <v>315</v>
      </c>
      <c r="B75" s="154"/>
    </row>
    <row r="76" spans="1:2" ht="15">
      <c r="A76" s="5" t="s">
        <v>316</v>
      </c>
      <c r="B76" s="154"/>
    </row>
    <row r="77" spans="1:2" ht="15">
      <c r="A77" s="5" t="s">
        <v>317</v>
      </c>
      <c r="B77" s="154"/>
    </row>
    <row r="78" spans="1:2" ht="15">
      <c r="A78" s="5" t="s">
        <v>400</v>
      </c>
      <c r="B78" s="154"/>
    </row>
    <row r="79" spans="1:2" ht="15">
      <c r="A79" s="5" t="s">
        <v>318</v>
      </c>
      <c r="B79" s="154"/>
    </row>
    <row r="80" spans="1:2" ht="12.75">
      <c r="A80" s="5"/>
      <c r="B80" s="23"/>
    </row>
    <row r="81" ht="12.75">
      <c r="A81" s="105" t="s">
        <v>332</v>
      </c>
    </row>
    <row r="82" spans="1:2" ht="15.75" thickBot="1">
      <c r="A82" s="12" t="s">
        <v>407</v>
      </c>
      <c r="B82" s="153"/>
    </row>
    <row r="83" spans="1:11" ht="15.75">
      <c r="A83" s="5" t="s">
        <v>408</v>
      </c>
      <c r="B83" s="142"/>
      <c r="C83" s="100"/>
      <c r="D83" s="100"/>
      <c r="E83" s="100"/>
      <c r="F83" s="100"/>
      <c r="G83" s="100"/>
      <c r="H83" s="100"/>
      <c r="I83" s="106"/>
      <c r="J83" s="106"/>
      <c r="K83" s="149"/>
    </row>
    <row r="84" spans="1:11" ht="15">
      <c r="A84" s="5"/>
      <c r="C84" s="102"/>
      <c r="D84" s="102"/>
      <c r="E84" s="102"/>
      <c r="F84" s="102"/>
      <c r="G84" s="47"/>
      <c r="H84" s="47"/>
      <c r="I84" s="49"/>
      <c r="J84" s="49"/>
      <c r="K84" s="44"/>
    </row>
    <row r="85" spans="1:11" ht="15">
      <c r="A85" s="105" t="s">
        <v>399</v>
      </c>
      <c r="C85" s="125"/>
      <c r="D85" s="125"/>
      <c r="E85" s="102"/>
      <c r="F85" s="102"/>
      <c r="G85" s="47"/>
      <c r="H85" s="44"/>
      <c r="I85" s="62"/>
      <c r="J85" s="125"/>
      <c r="K85" s="125"/>
    </row>
    <row r="86" spans="1:11" ht="15">
      <c r="A86" s="5" t="s">
        <v>411</v>
      </c>
      <c r="B86" s="74"/>
      <c r="C86" s="125"/>
      <c r="D86" s="125"/>
      <c r="E86" s="102"/>
      <c r="F86" s="102"/>
      <c r="G86" s="47"/>
      <c r="H86" s="44"/>
      <c r="I86" s="62"/>
      <c r="J86" s="125"/>
      <c r="K86" s="125"/>
    </row>
    <row r="87" spans="1:11" ht="15.75">
      <c r="A87" s="5" t="s">
        <v>412</v>
      </c>
      <c r="B87" s="75"/>
      <c r="C87" s="113"/>
      <c r="D87" s="113"/>
      <c r="E87" s="113"/>
      <c r="F87" s="113"/>
      <c r="G87" s="47"/>
      <c r="H87" s="66"/>
      <c r="I87" s="108"/>
      <c r="J87" s="108"/>
      <c r="K87" s="50"/>
    </row>
    <row r="88" spans="1:11" ht="15">
      <c r="A88" s="5" t="s">
        <v>409</v>
      </c>
      <c r="B88" s="142"/>
      <c r="C88" s="102"/>
      <c r="D88" s="102"/>
      <c r="E88" s="102"/>
      <c r="F88" s="102"/>
      <c r="G88" s="47"/>
      <c r="H88" s="44"/>
      <c r="I88" s="62"/>
      <c r="J88" s="62"/>
      <c r="K88" s="50"/>
    </row>
    <row r="89" spans="1:11" ht="15.75">
      <c r="A89" s="11" t="s">
        <v>410</v>
      </c>
      <c r="B89" s="168"/>
      <c r="C89" s="100"/>
      <c r="D89" s="100"/>
      <c r="E89" s="100"/>
      <c r="F89" s="46"/>
      <c r="G89" s="44"/>
      <c r="H89" s="44"/>
      <c r="I89" s="62"/>
      <c r="J89" s="62"/>
      <c r="K89" s="62"/>
    </row>
    <row r="90" spans="1:11" ht="15.75">
      <c r="A90" s="205" t="s">
        <v>406</v>
      </c>
      <c r="B90" s="142"/>
      <c r="C90" s="100"/>
      <c r="D90" s="100"/>
      <c r="E90" s="100"/>
      <c r="F90" s="44"/>
      <c r="G90" s="44"/>
      <c r="H90" s="46"/>
      <c r="I90" s="149"/>
      <c r="J90" s="149"/>
      <c r="K90" s="44"/>
    </row>
    <row r="91" spans="1:11" ht="15">
      <c r="A91" s="101" t="s">
        <v>448</v>
      </c>
      <c r="B91" s="44"/>
      <c r="C91" s="125"/>
      <c r="D91" s="125"/>
      <c r="E91" s="102"/>
      <c r="F91" s="102"/>
      <c r="G91" s="47"/>
      <c r="H91" s="125"/>
      <c r="I91" s="125"/>
      <c r="J91" s="125"/>
      <c r="K91" s="125"/>
    </row>
    <row r="92" spans="1:11" ht="15.75">
      <c r="A92" s="45"/>
      <c r="B92" s="125"/>
      <c r="C92" s="113"/>
      <c r="D92" s="113"/>
      <c r="E92" s="113"/>
      <c r="F92" s="113"/>
      <c r="G92" s="47"/>
      <c r="H92" s="44"/>
      <c r="I92" s="62"/>
      <c r="J92" s="62"/>
      <c r="K92" s="44"/>
    </row>
    <row r="93" spans="1:11" ht="15.75">
      <c r="A93" s="101" t="s">
        <v>446</v>
      </c>
      <c r="B93" s="50"/>
      <c r="C93" s="113"/>
      <c r="D93" s="113"/>
      <c r="E93" s="113"/>
      <c r="F93" s="113"/>
      <c r="G93" s="47"/>
      <c r="H93" s="44"/>
      <c r="I93" s="62"/>
      <c r="J93" s="62"/>
      <c r="K93" s="44"/>
    </row>
    <row r="94" spans="1:11" ht="15">
      <c r="A94" s="45" t="s">
        <v>292</v>
      </c>
      <c r="B94" s="62"/>
      <c r="C94" s="102"/>
      <c r="D94" s="102"/>
      <c r="E94" s="102"/>
      <c r="F94" s="102"/>
      <c r="G94" s="47"/>
      <c r="H94" s="50"/>
      <c r="I94" s="110"/>
      <c r="J94" s="110"/>
      <c r="K94" s="50"/>
    </row>
    <row r="95" spans="1:11" ht="15">
      <c r="A95" s="101" t="s">
        <v>445</v>
      </c>
      <c r="B95" s="44"/>
      <c r="C95" s="102"/>
      <c r="D95" s="102"/>
      <c r="E95" s="102"/>
      <c r="F95" s="102"/>
      <c r="G95" s="47"/>
      <c r="H95" s="50"/>
      <c r="I95" s="110"/>
      <c r="J95" s="110"/>
      <c r="K95" s="50"/>
    </row>
    <row r="96" spans="1:11" ht="15.75">
      <c r="A96" s="104"/>
      <c r="B96" s="44"/>
      <c r="C96" s="113"/>
      <c r="D96" s="113"/>
      <c r="E96" s="113"/>
      <c r="F96" s="113"/>
      <c r="G96" s="47"/>
      <c r="H96" s="44"/>
      <c r="I96" s="62"/>
      <c r="J96" s="62"/>
      <c r="K96" s="44"/>
    </row>
    <row r="97" spans="1:11" ht="15">
      <c r="A97" s="101" t="s">
        <v>451</v>
      </c>
      <c r="B97" s="44"/>
      <c r="C97" s="102"/>
      <c r="D97" s="125"/>
      <c r="E97" s="125"/>
      <c r="F97" s="125"/>
      <c r="G97" s="125"/>
      <c r="H97" s="125"/>
      <c r="I97" s="125"/>
      <c r="J97" s="125"/>
      <c r="K97" s="125"/>
    </row>
    <row r="98" spans="1:11" ht="15">
      <c r="A98" s="45"/>
      <c r="B98" s="50"/>
      <c r="C98" s="102"/>
      <c r="D98" s="102"/>
      <c r="E98" s="102"/>
      <c r="F98" s="102"/>
      <c r="G98" s="47"/>
      <c r="H98" s="50"/>
      <c r="I98" s="110"/>
      <c r="J98" s="110"/>
      <c r="K98" s="50"/>
    </row>
    <row r="99" spans="1:11" ht="15">
      <c r="A99" s="101" t="s">
        <v>450</v>
      </c>
      <c r="B99" s="44"/>
      <c r="C99" s="102"/>
      <c r="D99" s="102"/>
      <c r="E99" s="102"/>
      <c r="F99" s="102"/>
      <c r="G99" s="47"/>
      <c r="H99" s="47"/>
      <c r="I99" s="49"/>
      <c r="J99" s="49"/>
      <c r="K99" s="50"/>
    </row>
    <row r="100" spans="1:11" ht="15">
      <c r="A100" s="45"/>
      <c r="B100" s="50"/>
      <c r="C100" s="125"/>
      <c r="D100" s="125"/>
      <c r="E100" s="125"/>
      <c r="F100" s="125"/>
      <c r="G100" s="47"/>
      <c r="H100" s="44"/>
      <c r="I100" s="62"/>
      <c r="J100" s="62"/>
      <c r="K100" s="50"/>
    </row>
    <row r="101" spans="1:11" ht="15">
      <c r="A101" s="101" t="s">
        <v>447</v>
      </c>
      <c r="B101" s="50"/>
      <c r="C101" s="102"/>
      <c r="D101" s="102"/>
      <c r="E101" s="102"/>
      <c r="F101" s="102"/>
      <c r="G101" s="47"/>
      <c r="H101" s="44"/>
      <c r="I101" s="62"/>
      <c r="J101" s="62"/>
      <c r="K101" s="50"/>
    </row>
    <row r="102" spans="1:11" ht="15">
      <c r="A102" s="45"/>
      <c r="B102" s="50"/>
      <c r="C102" s="102"/>
      <c r="D102" s="102"/>
      <c r="E102" s="102"/>
      <c r="F102" s="102"/>
      <c r="G102" s="47"/>
      <c r="H102" s="47"/>
      <c r="I102" s="49"/>
      <c r="J102" s="49"/>
      <c r="K102" s="50"/>
    </row>
    <row r="103" spans="1:11" ht="15">
      <c r="A103" s="101" t="s">
        <v>449</v>
      </c>
      <c r="B103" s="50"/>
      <c r="C103" s="125"/>
      <c r="D103" s="125"/>
      <c r="E103" s="125"/>
      <c r="F103" s="125"/>
      <c r="G103" s="125"/>
      <c r="H103" s="125"/>
      <c r="I103" s="125"/>
      <c r="J103" s="62"/>
      <c r="K103" s="50"/>
    </row>
    <row r="104" spans="1:11" ht="15">
      <c r="A104" s="45"/>
      <c r="B104" s="44"/>
      <c r="C104" s="102"/>
      <c r="D104" s="102"/>
      <c r="E104" s="102"/>
      <c r="F104" s="102"/>
      <c r="G104" s="47"/>
      <c r="H104" s="44"/>
      <c r="I104" s="62"/>
      <c r="J104" s="62"/>
      <c r="K104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</cols>
  <sheetData>
    <row r="1" ht="12.75">
      <c r="A1" s="105" t="s">
        <v>487</v>
      </c>
    </row>
    <row r="2" ht="12.75">
      <c r="A2" s="105" t="s">
        <v>485</v>
      </c>
    </row>
    <row r="3" ht="12.75">
      <c r="A3" s="105" t="s">
        <v>488</v>
      </c>
    </row>
    <row r="4" ht="12.75">
      <c r="A4" s="105" t="s">
        <v>486</v>
      </c>
    </row>
    <row r="5" ht="12.75">
      <c r="A5" s="105"/>
    </row>
    <row r="6" spans="1:2" ht="15">
      <c r="A6" s="1" t="s">
        <v>290</v>
      </c>
      <c r="B6" s="39" t="s">
        <v>189</v>
      </c>
    </row>
    <row r="7" spans="1:2" ht="15">
      <c r="A7" s="1" t="s">
        <v>483</v>
      </c>
      <c r="B7" s="196" t="s">
        <v>152</v>
      </c>
    </row>
    <row r="8" spans="1:2" ht="15">
      <c r="A8" s="5" t="s">
        <v>302</v>
      </c>
      <c r="B8" s="151">
        <v>3.273</v>
      </c>
    </row>
    <row r="9" spans="1:2" ht="15">
      <c r="A9" s="1" t="s">
        <v>220</v>
      </c>
      <c r="B9" s="142">
        <v>5.025</v>
      </c>
    </row>
    <row r="10" spans="1:2" ht="15">
      <c r="A10" s="1" t="s">
        <v>237</v>
      </c>
      <c r="B10" s="77">
        <v>7.5</v>
      </c>
    </row>
    <row r="11" spans="1:2" ht="15">
      <c r="A11" s="1" t="s">
        <v>465</v>
      </c>
      <c r="B11" s="73">
        <v>8.781</v>
      </c>
    </row>
    <row r="12" spans="1:2" ht="15">
      <c r="A12" s="1" t="s">
        <v>236</v>
      </c>
      <c r="B12" s="77">
        <v>10.2</v>
      </c>
    </row>
    <row r="13" spans="1:2" ht="15">
      <c r="A13" s="1" t="s">
        <v>221</v>
      </c>
      <c r="B13" s="142">
        <v>12.379</v>
      </c>
    </row>
    <row r="14" spans="1:2" ht="15">
      <c r="A14" s="1" t="s">
        <v>234</v>
      </c>
      <c r="B14" s="142">
        <v>12.496</v>
      </c>
    </row>
    <row r="15" spans="1:2" ht="15">
      <c r="A15" s="43" t="s">
        <v>223</v>
      </c>
      <c r="B15" s="142">
        <v>13.099</v>
      </c>
    </row>
    <row r="16" spans="1:2" ht="15">
      <c r="A16" s="1" t="s">
        <v>235</v>
      </c>
      <c r="B16" s="142">
        <v>16.12</v>
      </c>
    </row>
    <row r="17" spans="1:2" ht="15">
      <c r="A17" s="1" t="s">
        <v>482</v>
      </c>
      <c r="B17" s="142">
        <v>16.834</v>
      </c>
    </row>
    <row r="18" spans="1:2" ht="15">
      <c r="A18" s="195" t="s">
        <v>481</v>
      </c>
      <c r="B18" s="142">
        <v>18.642</v>
      </c>
    </row>
    <row r="19" spans="1:2" ht="15">
      <c r="A19" s="179" t="s">
        <v>478</v>
      </c>
      <c r="B19" s="142">
        <v>18.926</v>
      </c>
    </row>
    <row r="20" spans="1:2" ht="15">
      <c r="A20" s="1" t="s">
        <v>238</v>
      </c>
      <c r="B20" s="77">
        <v>21.2</v>
      </c>
    </row>
    <row r="21" spans="1:2" ht="15">
      <c r="A21" s="11" t="s">
        <v>291</v>
      </c>
      <c r="B21" s="77">
        <v>21.4</v>
      </c>
    </row>
    <row r="22" spans="1:2" ht="15">
      <c r="A22" s="1" t="s">
        <v>279</v>
      </c>
      <c r="B22" s="73">
        <v>21.938</v>
      </c>
    </row>
    <row r="23" spans="1:2" ht="15">
      <c r="A23" s="1" t="s">
        <v>224</v>
      </c>
      <c r="B23" s="142">
        <v>44.452</v>
      </c>
    </row>
    <row r="24" spans="1:2" ht="15">
      <c r="A24" s="1" t="s">
        <v>219</v>
      </c>
      <c r="B24" s="142">
        <v>45.451</v>
      </c>
    </row>
    <row r="25" spans="1:2" ht="15">
      <c r="A25" s="11" t="s">
        <v>293</v>
      </c>
      <c r="B25" s="142">
        <v>47.438</v>
      </c>
    </row>
    <row r="26" spans="1:2" ht="15">
      <c r="A26" s="1" t="s">
        <v>226</v>
      </c>
      <c r="B26" s="142">
        <v>48.524</v>
      </c>
    </row>
    <row r="27" spans="1:2" ht="15">
      <c r="A27" s="11" t="s">
        <v>484</v>
      </c>
      <c r="B27" s="200">
        <v>49.513</v>
      </c>
    </row>
    <row r="28" spans="1:2" ht="15">
      <c r="A28" s="11" t="s">
        <v>479</v>
      </c>
      <c r="B28" s="142">
        <v>90.219</v>
      </c>
    </row>
    <row r="29" spans="1:2" ht="15">
      <c r="A29" s="1" t="s">
        <v>215</v>
      </c>
      <c r="B29" s="142">
        <v>92.693</v>
      </c>
    </row>
    <row r="30" spans="1:2" ht="15">
      <c r="A30" s="11" t="s">
        <v>218</v>
      </c>
      <c r="B30" s="142">
        <v>115.916</v>
      </c>
    </row>
    <row r="31" spans="1:2" ht="15">
      <c r="A31" s="1" t="s">
        <v>216</v>
      </c>
      <c r="B31" s="142">
        <v>125.819</v>
      </c>
    </row>
    <row r="32" spans="1:2" ht="15">
      <c r="A32" s="1" t="s">
        <v>217</v>
      </c>
      <c r="B32" s="142">
        <v>132.378</v>
      </c>
    </row>
    <row r="33" spans="1:2" ht="15">
      <c r="A33" s="1" t="s">
        <v>214</v>
      </c>
      <c r="B33" s="142">
        <v>152.099</v>
      </c>
    </row>
    <row r="34" spans="1:2" ht="15">
      <c r="A34" s="1" t="s">
        <v>263</v>
      </c>
      <c r="B34" s="142">
        <v>553.4</v>
      </c>
    </row>
    <row r="35" spans="1:2" ht="15">
      <c r="A35" s="1" t="s">
        <v>213</v>
      </c>
      <c r="B35" s="200"/>
    </row>
    <row r="36" spans="1:2" ht="12.75">
      <c r="A36" s="11"/>
      <c r="B36" s="17"/>
    </row>
    <row r="37" spans="1:2" ht="12.75">
      <c r="A37" s="6" t="s">
        <v>160</v>
      </c>
      <c r="B37" s="17"/>
    </row>
    <row r="38" spans="1:2" ht="15">
      <c r="A38" s="1" t="s">
        <v>222</v>
      </c>
      <c r="B38" s="142"/>
    </row>
    <row r="40" spans="1:2" ht="15.75">
      <c r="A40" s="92"/>
      <c r="B40" s="25"/>
    </row>
    <row r="41" ht="14.25">
      <c r="A41" s="6" t="s">
        <v>311</v>
      </c>
    </row>
    <row r="42" ht="12.75">
      <c r="A42" s="22"/>
    </row>
    <row r="43" ht="12.75">
      <c r="A43" s="115" t="s">
        <v>308</v>
      </c>
    </row>
    <row r="44" spans="1:2" ht="15">
      <c r="A44" s="107" t="s">
        <v>374</v>
      </c>
      <c r="B44" s="74"/>
    </row>
    <row r="45" ht="12.75">
      <c r="A45" s="22"/>
    </row>
    <row r="46" ht="12.75">
      <c r="A46" s="6" t="s">
        <v>239</v>
      </c>
    </row>
    <row r="47" ht="12.75">
      <c r="A47" s="1"/>
    </row>
    <row r="48" ht="12.75">
      <c r="A48" s="6" t="s">
        <v>466</v>
      </c>
    </row>
    <row r="49" ht="12.75">
      <c r="A49" s="1"/>
    </row>
    <row r="50" ht="12.75">
      <c r="A50" s="6" t="s">
        <v>240</v>
      </c>
    </row>
    <row r="51" spans="1:2" s="134" customFormat="1" ht="15">
      <c r="A51" s="11" t="s">
        <v>310</v>
      </c>
      <c r="B51" s="25"/>
    </row>
    <row r="52" spans="1:2" ht="15">
      <c r="A52" s="11" t="s">
        <v>313</v>
      </c>
      <c r="B52" s="142"/>
    </row>
    <row r="53" ht="12.75">
      <c r="A53" s="11"/>
    </row>
    <row r="54" ht="12.75">
      <c r="A54" s="105" t="s">
        <v>398</v>
      </c>
    </row>
    <row r="55" spans="1:2" ht="15">
      <c r="A55" s="5"/>
      <c r="B55" s="151"/>
    </row>
    <row r="56" ht="14.25">
      <c r="A56" s="6" t="s">
        <v>312</v>
      </c>
    </row>
    <row r="57" spans="1:2" ht="15">
      <c r="A57" s="5" t="s">
        <v>315</v>
      </c>
      <c r="B57" s="154"/>
    </row>
    <row r="58" spans="1:2" ht="15">
      <c r="A58" s="5" t="s">
        <v>316</v>
      </c>
      <c r="B58" s="154"/>
    </row>
    <row r="59" spans="1:2" ht="15">
      <c r="A59" s="5" t="s">
        <v>317</v>
      </c>
      <c r="B59" s="154"/>
    </row>
    <row r="60" spans="1:2" ht="15">
      <c r="A60" s="5" t="s">
        <v>264</v>
      </c>
      <c r="B60" s="154"/>
    </row>
    <row r="61" spans="1:2" ht="15">
      <c r="A61" s="5" t="s">
        <v>318</v>
      </c>
      <c r="B61" s="154"/>
    </row>
    <row r="62" spans="1:2" ht="12.75">
      <c r="A62" s="5"/>
      <c r="B62" s="23"/>
    </row>
    <row r="63" ht="14.25">
      <c r="A63" s="105" t="s">
        <v>415</v>
      </c>
    </row>
    <row r="64" spans="1:2" ht="15">
      <c r="A64" s="5" t="s">
        <v>418</v>
      </c>
      <c r="B64" s="74"/>
    </row>
    <row r="65" spans="1:2" ht="15">
      <c r="A65" s="5" t="s">
        <v>414</v>
      </c>
      <c r="B65" s="75"/>
    </row>
    <row r="66" spans="1:2" ht="15">
      <c r="A66" s="5" t="s">
        <v>280</v>
      </c>
      <c r="B66" s="75"/>
    </row>
    <row r="67" spans="1:2" ht="15">
      <c r="A67" s="11" t="s">
        <v>281</v>
      </c>
      <c r="B67" s="143"/>
    </row>
    <row r="68" spans="1:2" ht="15.75" thickBot="1">
      <c r="A68" s="169" t="s">
        <v>406</v>
      </c>
      <c r="B68" s="157"/>
    </row>
    <row r="95" ht="12.75">
      <c r="A95" s="133"/>
    </row>
    <row r="96" ht="12.75">
      <c r="A96" s="10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57421875" style="69" customWidth="1"/>
    <col min="2" max="2" width="10.7109375" style="0" customWidth="1"/>
    <col min="6" max="6" width="27.140625" style="0" customWidth="1"/>
    <col min="11" max="11" width="23.28125" style="0" customWidth="1"/>
    <col min="14" max="14" width="22.28125" style="0" customWidth="1"/>
  </cols>
  <sheetData>
    <row r="1" spans="1:9" s="25" customFormat="1" ht="19.5" customHeight="1" thickBot="1">
      <c r="A1" s="94" t="s">
        <v>211</v>
      </c>
      <c r="B1" s="86">
        <v>2011</v>
      </c>
      <c r="C1" s="237" t="s">
        <v>194</v>
      </c>
      <c r="D1" s="127"/>
      <c r="E1" s="238" t="s">
        <v>186</v>
      </c>
      <c r="F1" s="94" t="s">
        <v>211</v>
      </c>
      <c r="G1" s="86">
        <v>2011</v>
      </c>
      <c r="H1" s="2" t="s">
        <v>413</v>
      </c>
      <c r="I1" s="16" t="s">
        <v>186</v>
      </c>
    </row>
    <row r="2" spans="1:14" ht="15">
      <c r="A2" s="107"/>
      <c r="B2" s="142"/>
      <c r="K2" s="105" t="s">
        <v>194</v>
      </c>
      <c r="N2" s="105" t="s">
        <v>228</v>
      </c>
    </row>
    <row r="3" spans="1:15" ht="15">
      <c r="A3" s="134" t="str">
        <f>K12</f>
        <v>Ullapool-Stornoway</v>
      </c>
      <c r="B3" s="671">
        <f>L12</f>
        <v>230.949</v>
      </c>
      <c r="C3" s="672"/>
      <c r="D3" s="672"/>
      <c r="E3" s="672"/>
      <c r="F3" s="476" t="s">
        <v>215</v>
      </c>
      <c r="G3" s="671">
        <f>O12</f>
        <v>80.924</v>
      </c>
      <c r="H3" s="116"/>
      <c r="I3" s="142"/>
      <c r="K3" t="s">
        <v>263</v>
      </c>
      <c r="L3">
        <v>1332.7</v>
      </c>
      <c r="N3" t="s">
        <v>263</v>
      </c>
      <c r="O3">
        <v>577.9</v>
      </c>
    </row>
    <row r="4" spans="1:15" ht="15">
      <c r="A4" s="134" t="str">
        <f>K11</f>
        <v>Toft-Ulsta</v>
      </c>
      <c r="B4" s="671">
        <f>L11</f>
        <v>254</v>
      </c>
      <c r="C4" s="671"/>
      <c r="D4" s="671"/>
      <c r="E4" s="671"/>
      <c r="F4" s="476" t="s">
        <v>218</v>
      </c>
      <c r="G4" s="671">
        <f>O11</f>
        <v>108.925</v>
      </c>
      <c r="H4" s="681"/>
      <c r="I4" s="142"/>
      <c r="J4" s="134"/>
      <c r="K4" s="134" t="s">
        <v>723</v>
      </c>
      <c r="L4" s="134">
        <v>922.116</v>
      </c>
      <c r="M4" s="134"/>
      <c r="N4" s="134" t="s">
        <v>723</v>
      </c>
      <c r="O4" s="134">
        <v>217</v>
      </c>
    </row>
    <row r="5" spans="1:15" ht="15">
      <c r="A5" s="134" t="str">
        <f>K10</f>
        <v>Gourock-Dunoon</v>
      </c>
      <c r="B5" s="671">
        <f>L10</f>
        <v>409.236</v>
      </c>
      <c r="C5" s="671"/>
      <c r="D5" s="671"/>
      <c r="E5" s="671"/>
      <c r="F5" s="476" t="s">
        <v>216</v>
      </c>
      <c r="G5" s="680">
        <f>O10</f>
        <v>127.854</v>
      </c>
      <c r="H5" s="681"/>
      <c r="I5" s="200"/>
      <c r="J5" s="134"/>
      <c r="K5" s="134" t="s">
        <v>706</v>
      </c>
      <c r="L5" s="134">
        <v>711.537</v>
      </c>
      <c r="M5" s="134"/>
      <c r="N5" s="134" t="s">
        <v>310</v>
      </c>
      <c r="O5" s="134">
        <v>242</v>
      </c>
    </row>
    <row r="6" spans="1:15" ht="15">
      <c r="A6" s="134" t="str">
        <f>K9</f>
        <v>Oban-Craignure</v>
      </c>
      <c r="B6" s="671">
        <f>L9</f>
        <v>543.733</v>
      </c>
      <c r="C6" s="671"/>
      <c r="D6" s="671"/>
      <c r="E6" s="671"/>
      <c r="F6" s="473" t="s">
        <v>316</v>
      </c>
      <c r="G6" s="680">
        <f>O9</f>
        <v>134</v>
      </c>
      <c r="H6" s="681"/>
      <c r="I6" s="142"/>
      <c r="J6" s="134"/>
      <c r="K6" s="134" t="s">
        <v>711</v>
      </c>
      <c r="L6" s="134">
        <v>697.713</v>
      </c>
      <c r="M6" s="134"/>
      <c r="N6" s="667" t="s">
        <v>706</v>
      </c>
      <c r="O6" s="430">
        <v>152.859</v>
      </c>
    </row>
    <row r="7" spans="1:15" ht="15">
      <c r="A7" s="134" t="str">
        <f>K8</f>
        <v>Cairnryan-Larne</v>
      </c>
      <c r="B7" s="671">
        <f>L8</f>
        <v>631.422</v>
      </c>
      <c r="C7" s="671"/>
      <c r="D7" s="671"/>
      <c r="E7" s="671"/>
      <c r="F7" s="476" t="s">
        <v>217</v>
      </c>
      <c r="G7" s="671">
        <f>O8</f>
        <v>136.028</v>
      </c>
      <c r="H7" s="681"/>
      <c r="I7" s="142"/>
      <c r="J7" s="134"/>
      <c r="K7" s="134" t="s">
        <v>709</v>
      </c>
      <c r="L7" s="134">
        <v>692.438</v>
      </c>
      <c r="M7" s="134"/>
      <c r="N7" s="134" t="s">
        <v>724</v>
      </c>
      <c r="O7" s="430">
        <v>153</v>
      </c>
    </row>
    <row r="8" spans="1:15" ht="15">
      <c r="A8" s="134" t="str">
        <f>K7</f>
        <v>Ardrossan-Brodick</v>
      </c>
      <c r="B8" s="671">
        <f>L7</f>
        <v>692.438</v>
      </c>
      <c r="C8" s="671"/>
      <c r="D8" s="671"/>
      <c r="E8" s="671"/>
      <c r="F8" s="476" t="s">
        <v>446</v>
      </c>
      <c r="G8" s="671">
        <f>O7</f>
        <v>153</v>
      </c>
      <c r="H8" s="681"/>
      <c r="I8" s="142"/>
      <c r="J8" s="134"/>
      <c r="K8" s="134" t="s">
        <v>724</v>
      </c>
      <c r="L8" s="134">
        <v>631.422</v>
      </c>
      <c r="M8" s="134"/>
      <c r="N8" s="667" t="s">
        <v>711</v>
      </c>
      <c r="O8" s="430">
        <v>136.028</v>
      </c>
    </row>
    <row r="9" spans="1:15" ht="15">
      <c r="A9" s="134" t="str">
        <f>K6</f>
        <v>Largs-Cumbrae</v>
      </c>
      <c r="B9" s="671">
        <f>L6</f>
        <v>697.713</v>
      </c>
      <c r="C9" s="671"/>
      <c r="D9" s="671"/>
      <c r="E9" s="671"/>
      <c r="F9" s="673" t="s">
        <v>214</v>
      </c>
      <c r="G9" s="671">
        <f>O6</f>
        <v>152.859</v>
      </c>
      <c r="H9" s="681"/>
      <c r="I9" s="142"/>
      <c r="J9" s="134"/>
      <c r="K9" s="134" t="s">
        <v>691</v>
      </c>
      <c r="L9" s="134">
        <v>543.733</v>
      </c>
      <c r="M9" s="134"/>
      <c r="N9" s="134" t="s">
        <v>388</v>
      </c>
      <c r="O9" s="430">
        <v>134</v>
      </c>
    </row>
    <row r="10" spans="1:15" ht="15">
      <c r="A10" s="134" t="str">
        <f>K5</f>
        <v>Wemyss Bay-Rothesay</v>
      </c>
      <c r="B10" s="671">
        <f>L5</f>
        <v>711.537</v>
      </c>
      <c r="C10" s="671"/>
      <c r="D10" s="671"/>
      <c r="E10" s="671"/>
      <c r="F10" s="476" t="s">
        <v>591</v>
      </c>
      <c r="G10" s="671">
        <f>O4</f>
        <v>217</v>
      </c>
      <c r="H10" s="681"/>
      <c r="I10" s="142"/>
      <c r="J10" s="134"/>
      <c r="K10" s="134" t="s">
        <v>263</v>
      </c>
      <c r="L10" s="134">
        <v>409.236</v>
      </c>
      <c r="M10" s="134"/>
      <c r="N10" s="667" t="s">
        <v>709</v>
      </c>
      <c r="O10" s="430">
        <v>127.854</v>
      </c>
    </row>
    <row r="11" spans="1:15" ht="15">
      <c r="A11" s="134" t="str">
        <f>K4</f>
        <v>Stranraer-Belfast</v>
      </c>
      <c r="B11" s="671">
        <f>L4</f>
        <v>922.116</v>
      </c>
      <c r="C11" s="671"/>
      <c r="D11" s="671"/>
      <c r="E11" s="671"/>
      <c r="F11" s="476" t="s">
        <v>37</v>
      </c>
      <c r="G11" s="671">
        <f>O5</f>
        <v>242</v>
      </c>
      <c r="H11" s="681"/>
      <c r="I11" s="142"/>
      <c r="J11" s="134"/>
      <c r="K11" s="134" t="s">
        <v>388</v>
      </c>
      <c r="L11" s="134">
        <v>254</v>
      </c>
      <c r="M11" s="134"/>
      <c r="N11" s="667" t="s">
        <v>691</v>
      </c>
      <c r="O11" s="430">
        <v>108.925</v>
      </c>
    </row>
    <row r="12" spans="1:15" ht="15.75" thickBot="1">
      <c r="A12" s="134" t="str">
        <f>K3</f>
        <v>Gourock-Dunoon</v>
      </c>
      <c r="B12" s="671">
        <f>L3</f>
        <v>1332.7</v>
      </c>
      <c r="C12" s="672"/>
      <c r="D12" s="672"/>
      <c r="E12" s="672"/>
      <c r="F12" s="473" t="s">
        <v>263</v>
      </c>
      <c r="G12" s="671">
        <f>O3</f>
        <v>577.9</v>
      </c>
      <c r="H12" s="116"/>
      <c r="I12" s="142"/>
      <c r="K12" s="3" t="s">
        <v>697</v>
      </c>
      <c r="L12" s="3">
        <v>230.949</v>
      </c>
      <c r="M12" s="3"/>
      <c r="N12" s="669" t="s">
        <v>707</v>
      </c>
      <c r="O12" s="670">
        <v>80.924</v>
      </c>
    </row>
    <row r="13" spans="14:15" ht="12.75">
      <c r="N13" s="665"/>
      <c r="O13" s="430"/>
    </row>
    <row r="14" spans="1:15" ht="15">
      <c r="A14" s="107" t="s">
        <v>395</v>
      </c>
      <c r="B14" s="145">
        <f>'T9.13'!U48</f>
        <v>54.016</v>
      </c>
      <c r="G14" s="209"/>
      <c r="K14" t="s">
        <v>707</v>
      </c>
      <c r="L14">
        <v>227.996</v>
      </c>
      <c r="N14" s="665" t="s">
        <v>697</v>
      </c>
      <c r="O14" s="430">
        <v>67.778</v>
      </c>
    </row>
    <row r="15" spans="1:15" ht="15">
      <c r="A15" s="156" t="s">
        <v>388</v>
      </c>
      <c r="B15" s="211" t="e">
        <f>#REF!</f>
        <v>#REF!</v>
      </c>
      <c r="F15" s="107" t="s">
        <v>390</v>
      </c>
      <c r="G15" s="129">
        <f>'T9.15'!T46</f>
        <v>61.4</v>
      </c>
      <c r="K15" t="s">
        <v>375</v>
      </c>
      <c r="L15">
        <v>221.657</v>
      </c>
      <c r="N15" s="665" t="s">
        <v>721</v>
      </c>
      <c r="O15" s="430">
        <v>67.64</v>
      </c>
    </row>
    <row r="16" spans="1:15" ht="15">
      <c r="A16" s="156" t="s">
        <v>389</v>
      </c>
      <c r="B16" s="211" t="e">
        <f>#REF!</f>
        <v>#REF!</v>
      </c>
      <c r="F16" s="5" t="s">
        <v>389</v>
      </c>
      <c r="G16" s="211" t="e">
        <f>#REF!</f>
        <v>#REF!</v>
      </c>
      <c r="K16" t="s">
        <v>695</v>
      </c>
      <c r="L16">
        <v>220.782</v>
      </c>
      <c r="N16" s="665" t="s">
        <v>690</v>
      </c>
      <c r="O16" s="430">
        <v>56.043</v>
      </c>
    </row>
    <row r="17" spans="1:15" ht="15">
      <c r="A17" s="107" t="s">
        <v>375</v>
      </c>
      <c r="B17" s="129">
        <f>'T9.15'!T20</f>
        <v>233.194</v>
      </c>
      <c r="F17" s="69" t="s">
        <v>396</v>
      </c>
      <c r="G17" s="129" t="e">
        <f>#REF!</f>
        <v>#REF!</v>
      </c>
      <c r="K17" t="s">
        <v>716</v>
      </c>
      <c r="L17">
        <v>182.269</v>
      </c>
      <c r="N17" s="665" t="s">
        <v>695</v>
      </c>
      <c r="O17" s="430">
        <v>52.441</v>
      </c>
    </row>
    <row r="18" spans="11:15" ht="12.75">
      <c r="K18" t="s">
        <v>690</v>
      </c>
      <c r="L18">
        <v>174.097</v>
      </c>
      <c r="N18" s="665" t="s">
        <v>692</v>
      </c>
      <c r="O18" s="430">
        <v>46.15</v>
      </c>
    </row>
    <row r="19" spans="2:15" ht="14.25">
      <c r="B19" s="1"/>
      <c r="K19" t="s">
        <v>692</v>
      </c>
      <c r="L19">
        <v>117.1</v>
      </c>
      <c r="N19" s="665" t="s">
        <v>719</v>
      </c>
      <c r="O19" s="430">
        <v>25.849</v>
      </c>
    </row>
    <row r="20" spans="11:15" ht="14.25">
      <c r="K20" t="s">
        <v>288</v>
      </c>
      <c r="L20">
        <v>61.657</v>
      </c>
      <c r="N20" s="667" t="s">
        <v>722</v>
      </c>
      <c r="O20" s="430">
        <v>23.383</v>
      </c>
    </row>
    <row r="21" spans="11:15" ht="12.75">
      <c r="K21" t="s">
        <v>718</v>
      </c>
      <c r="L21">
        <v>61.621</v>
      </c>
      <c r="N21" s="665" t="s">
        <v>708</v>
      </c>
      <c r="O21" s="430">
        <v>19.676</v>
      </c>
    </row>
    <row r="22" spans="11:15" ht="12.75">
      <c r="K22" t="s">
        <v>717</v>
      </c>
      <c r="L22">
        <v>58.092</v>
      </c>
      <c r="N22" s="666" t="s">
        <v>223</v>
      </c>
      <c r="O22" s="430">
        <v>19.275</v>
      </c>
    </row>
    <row r="23" spans="11:15" ht="12.75">
      <c r="K23" t="s">
        <v>698</v>
      </c>
      <c r="L23">
        <v>57.924</v>
      </c>
      <c r="N23" s="665" t="s">
        <v>699</v>
      </c>
      <c r="O23" s="430">
        <v>19.034</v>
      </c>
    </row>
    <row r="24" spans="11:15" ht="12.75">
      <c r="K24" t="s">
        <v>699</v>
      </c>
      <c r="L24">
        <v>53.606</v>
      </c>
      <c r="N24" s="667" t="s">
        <v>683</v>
      </c>
      <c r="O24" s="668">
        <v>17.016</v>
      </c>
    </row>
    <row r="25" spans="11:15" ht="12.75">
      <c r="K25" t="s">
        <v>693</v>
      </c>
      <c r="L25">
        <v>50.335</v>
      </c>
      <c r="N25" s="665" t="s">
        <v>693</v>
      </c>
      <c r="O25" s="430">
        <v>15.186</v>
      </c>
    </row>
    <row r="26" spans="11:15" ht="14.25">
      <c r="K26" t="s">
        <v>683</v>
      </c>
      <c r="L26">
        <v>48.438</v>
      </c>
      <c r="N26" s="665" t="s">
        <v>720</v>
      </c>
      <c r="O26" s="430">
        <v>14.692</v>
      </c>
    </row>
    <row r="27" spans="11:15" ht="12.75">
      <c r="K27" t="s">
        <v>715</v>
      </c>
      <c r="L27">
        <v>46.888</v>
      </c>
      <c r="N27" s="665" t="s">
        <v>698</v>
      </c>
      <c r="O27" s="430">
        <v>12.722</v>
      </c>
    </row>
    <row r="28" spans="11:15" ht="12.75">
      <c r="K28" t="s">
        <v>689</v>
      </c>
      <c r="L28">
        <v>34.279</v>
      </c>
      <c r="N28" s="665" t="s">
        <v>375</v>
      </c>
      <c r="O28" s="430">
        <v>5.592</v>
      </c>
    </row>
    <row r="29" spans="11:18" ht="12.75">
      <c r="K29" t="s">
        <v>685</v>
      </c>
      <c r="L29">
        <v>25.574</v>
      </c>
      <c r="N29" s="665" t="s">
        <v>689</v>
      </c>
      <c r="O29" s="668">
        <v>5.293</v>
      </c>
      <c r="P29" s="561"/>
      <c r="Q29" s="134"/>
      <c r="R29" s="134"/>
    </row>
    <row r="30" spans="11:15" ht="12.75">
      <c r="K30" t="s">
        <v>688</v>
      </c>
      <c r="L30">
        <v>20.109</v>
      </c>
      <c r="N30" s="667" t="s">
        <v>687</v>
      </c>
      <c r="O30" s="668">
        <v>4.28</v>
      </c>
    </row>
    <row r="31" spans="11:15" ht="12.75">
      <c r="K31" t="s">
        <v>687</v>
      </c>
      <c r="L31">
        <v>14.685</v>
      </c>
      <c r="N31" s="667" t="s">
        <v>684</v>
      </c>
      <c r="O31" s="668">
        <v>3.177</v>
      </c>
    </row>
    <row r="32" spans="11:15" ht="12.75">
      <c r="K32" t="s">
        <v>684</v>
      </c>
      <c r="L32">
        <v>11.033</v>
      </c>
      <c r="N32" s="667" t="s">
        <v>688</v>
      </c>
      <c r="O32" s="668">
        <v>2.742</v>
      </c>
    </row>
    <row r="33" spans="11:15" ht="12.75">
      <c r="K33" t="s">
        <v>686</v>
      </c>
      <c r="L33">
        <v>10.63</v>
      </c>
      <c r="N33" s="667" t="s">
        <v>686</v>
      </c>
      <c r="O33" s="668">
        <v>2.546</v>
      </c>
    </row>
    <row r="34" spans="14:15" ht="12.75">
      <c r="N34" s="667" t="s">
        <v>685</v>
      </c>
      <c r="O34" s="668">
        <v>0.82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2"/>
  <headerFooter alignWithMargins="0">
    <oddHeader>&amp;R&amp;"Arial,Bold"&amp;14WATER TRANSPORT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9.421875" style="44" customWidth="1"/>
    <col min="2" max="11" width="9.421875" style="44" hidden="1" customWidth="1"/>
    <col min="12" max="12" width="9.7109375" style="44" hidden="1" customWidth="1"/>
    <col min="13" max="18" width="9.7109375" style="44" customWidth="1"/>
    <col min="19" max="20" width="9.7109375" style="62" customWidth="1"/>
    <col min="21" max="21" width="9.7109375" style="44" customWidth="1"/>
    <col min="22" max="22" width="10.421875" style="44" customWidth="1"/>
    <col min="23" max="23" width="9.8515625" style="44" bestFit="1" customWidth="1"/>
    <col min="24" max="16384" width="9.140625" style="44" customWidth="1"/>
  </cols>
  <sheetData>
    <row r="1" spans="1:11" ht="18.75" customHeight="1">
      <c r="A1" s="532" t="s">
        <v>33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ht="5.25" customHeight="1"/>
    <row r="3" spans="1:11" ht="18.75" customHeight="1">
      <c r="A3" s="64" t="s">
        <v>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8.75" customHeight="1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2:21" ht="15">
      <c r="L5" s="64"/>
      <c r="M5" s="64"/>
      <c r="N5" s="64"/>
      <c r="O5" s="64"/>
      <c r="U5" s="62"/>
    </row>
    <row r="6" spans="1:23" ht="21" customHeight="1">
      <c r="A6" s="254"/>
      <c r="B6" s="255">
        <v>1990</v>
      </c>
      <c r="C6" s="256">
        <v>1991</v>
      </c>
      <c r="D6" s="255">
        <v>1992</v>
      </c>
      <c r="E6" s="256">
        <v>1993</v>
      </c>
      <c r="F6" s="255">
        <v>1994</v>
      </c>
      <c r="G6" s="256">
        <v>1995</v>
      </c>
      <c r="H6" s="255">
        <v>1996</v>
      </c>
      <c r="I6" s="256">
        <v>1997</v>
      </c>
      <c r="J6" s="255">
        <v>1998</v>
      </c>
      <c r="K6" s="256">
        <v>1999</v>
      </c>
      <c r="L6" s="255">
        <v>2000</v>
      </c>
      <c r="M6" s="256">
        <v>2001</v>
      </c>
      <c r="N6" s="256">
        <v>2002</v>
      </c>
      <c r="O6" s="256">
        <v>2003</v>
      </c>
      <c r="P6" s="256">
        <v>2004</v>
      </c>
      <c r="Q6" s="256">
        <v>2005</v>
      </c>
      <c r="R6" s="256">
        <v>2006</v>
      </c>
      <c r="S6" s="256">
        <v>2007</v>
      </c>
      <c r="T6" s="256">
        <v>2008</v>
      </c>
      <c r="U6" s="256">
        <v>2009</v>
      </c>
      <c r="V6" s="629">
        <v>2010</v>
      </c>
      <c r="W6" s="629">
        <v>2011</v>
      </c>
    </row>
    <row r="7" spans="1:23" ht="15.75">
      <c r="A7" s="248" t="s">
        <v>68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M7" s="249"/>
      <c r="N7" s="250"/>
      <c r="O7" s="250"/>
      <c r="P7" s="62"/>
      <c r="R7" s="250"/>
      <c r="S7" s="146"/>
      <c r="T7" s="146"/>
      <c r="U7" s="146"/>
      <c r="W7" s="146" t="s">
        <v>254</v>
      </c>
    </row>
    <row r="8" spans="1:20" ht="6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N8" s="62"/>
      <c r="O8" s="62"/>
      <c r="S8" s="44"/>
      <c r="T8" s="44"/>
    </row>
    <row r="9" spans="1:20" ht="18">
      <c r="A9" s="44" t="s">
        <v>615</v>
      </c>
      <c r="N9" s="62"/>
      <c r="O9" s="62"/>
      <c r="S9" s="44"/>
      <c r="T9" s="44"/>
    </row>
    <row r="10" spans="1:23" ht="15">
      <c r="A10" s="44" t="s">
        <v>241</v>
      </c>
      <c r="B10" s="562">
        <v>4.3</v>
      </c>
      <c r="C10" s="562">
        <v>4.5</v>
      </c>
      <c r="D10" s="562">
        <v>3.9</v>
      </c>
      <c r="E10" s="562">
        <v>3.9</v>
      </c>
      <c r="F10" s="562">
        <v>3.3</v>
      </c>
      <c r="G10" s="562">
        <v>3</v>
      </c>
      <c r="H10" s="562">
        <v>3.1</v>
      </c>
      <c r="I10" s="563">
        <v>3.5</v>
      </c>
      <c r="J10" s="108">
        <v>4.2</v>
      </c>
      <c r="K10" s="574">
        <v>4.2</v>
      </c>
      <c r="L10" s="141">
        <v>3.44</v>
      </c>
      <c r="M10" s="108">
        <v>4.08</v>
      </c>
      <c r="N10" s="108">
        <v>3.48</v>
      </c>
      <c r="O10" s="44">
        <v>3.19</v>
      </c>
      <c r="P10" s="44">
        <v>3.56</v>
      </c>
      <c r="Q10" s="108">
        <v>4.292862921277964</v>
      </c>
      <c r="R10" s="108">
        <v>3.555011959796599</v>
      </c>
      <c r="S10" s="108">
        <v>3.619514703248979</v>
      </c>
      <c r="T10" s="108">
        <v>2.790032149494325</v>
      </c>
      <c r="U10" s="108">
        <v>2.52</v>
      </c>
      <c r="V10" s="137">
        <v>3.01</v>
      </c>
      <c r="W10" s="150">
        <v>2.06</v>
      </c>
    </row>
    <row r="11" spans="1:23" ht="15">
      <c r="A11" s="44" t="s">
        <v>242</v>
      </c>
      <c r="B11" s="562">
        <v>0.2</v>
      </c>
      <c r="C11" s="562">
        <v>0.1</v>
      </c>
      <c r="D11" s="562">
        <v>0.1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40">
        <v>0</v>
      </c>
      <c r="L11" s="140">
        <v>0</v>
      </c>
      <c r="M11" s="140">
        <v>0</v>
      </c>
      <c r="N11" s="140" t="s">
        <v>152</v>
      </c>
      <c r="O11" s="52" t="s">
        <v>152</v>
      </c>
      <c r="P11" s="52" t="s">
        <v>152</v>
      </c>
      <c r="Q11" s="150" t="s">
        <v>152</v>
      </c>
      <c r="R11" s="137">
        <v>0.00856921054501028</v>
      </c>
      <c r="S11" s="137">
        <v>0.04254461483775434</v>
      </c>
      <c r="T11" s="137">
        <v>0.0164336548510239</v>
      </c>
      <c r="U11" s="137" t="s">
        <v>152</v>
      </c>
      <c r="V11" s="137">
        <v>0.01</v>
      </c>
      <c r="W11" s="150">
        <v>0.08</v>
      </c>
    </row>
    <row r="12" spans="1:23" ht="15">
      <c r="A12" s="44" t="s">
        <v>172</v>
      </c>
      <c r="B12" s="562">
        <v>2.5</v>
      </c>
      <c r="C12" s="562">
        <v>2.4</v>
      </c>
      <c r="D12" s="562">
        <v>2.3</v>
      </c>
      <c r="E12" s="562">
        <v>2.6</v>
      </c>
      <c r="F12" s="562">
        <v>3</v>
      </c>
      <c r="G12" s="562">
        <v>2.7</v>
      </c>
      <c r="H12" s="562">
        <v>3</v>
      </c>
      <c r="I12" s="563">
        <v>3.5</v>
      </c>
      <c r="J12" s="108">
        <v>4.1</v>
      </c>
      <c r="K12" s="141">
        <v>4.1</v>
      </c>
      <c r="L12" s="141">
        <v>3.46</v>
      </c>
      <c r="M12" s="141">
        <v>3.75</v>
      </c>
      <c r="N12" s="141">
        <v>3.49</v>
      </c>
      <c r="O12" s="44">
        <v>3.62</v>
      </c>
      <c r="P12" s="44">
        <v>3.34</v>
      </c>
      <c r="Q12" s="108">
        <v>4.17128308104256</v>
      </c>
      <c r="R12" s="108">
        <v>4.224034159025139</v>
      </c>
      <c r="S12" s="108">
        <v>4.13253575112357</v>
      </c>
      <c r="T12" s="108">
        <v>4.20344757928412</v>
      </c>
      <c r="U12" s="108">
        <v>3.77</v>
      </c>
      <c r="V12" s="137">
        <v>4.253339715865293</v>
      </c>
      <c r="W12" s="137">
        <v>3.8288467759150446</v>
      </c>
    </row>
    <row r="13" spans="1:23" ht="15">
      <c r="A13" s="44" t="s">
        <v>137</v>
      </c>
      <c r="B13" s="562">
        <v>7</v>
      </c>
      <c r="C13" s="562">
        <v>7</v>
      </c>
      <c r="D13" s="562">
        <v>6.4</v>
      </c>
      <c r="E13" s="562">
        <v>6.5</v>
      </c>
      <c r="F13" s="562">
        <v>6.3</v>
      </c>
      <c r="G13" s="562">
        <v>5.8</v>
      </c>
      <c r="H13" s="562">
        <v>6.1</v>
      </c>
      <c r="I13" s="563">
        <v>7</v>
      </c>
      <c r="J13" s="108">
        <v>8.4</v>
      </c>
      <c r="K13" s="574">
        <v>8.3</v>
      </c>
      <c r="L13" s="141">
        <v>6.9</v>
      </c>
      <c r="M13" s="108">
        <v>7.83</v>
      </c>
      <c r="N13" s="108">
        <v>6.98</v>
      </c>
      <c r="O13" s="66">
        <v>6.83</v>
      </c>
      <c r="P13" s="66">
        <v>6.9</v>
      </c>
      <c r="Q13" s="108">
        <v>8.46414600232052</v>
      </c>
      <c r="R13" s="108">
        <v>7.78761532936675</v>
      </c>
      <c r="S13" s="108">
        <v>7.794595069210304</v>
      </c>
      <c r="T13" s="108">
        <v>7.0099133836294705</v>
      </c>
      <c r="U13" s="108">
        <v>6.29</v>
      </c>
      <c r="V13" s="137">
        <v>7.263339715865293</v>
      </c>
      <c r="W13" s="137">
        <v>5.968846775915045</v>
      </c>
    </row>
    <row r="14" spans="2:22" ht="15">
      <c r="B14" s="564" t="s">
        <v>292</v>
      </c>
      <c r="C14" s="564" t="s">
        <v>292</v>
      </c>
      <c r="D14" s="564" t="s">
        <v>292</v>
      </c>
      <c r="E14" s="564" t="s">
        <v>292</v>
      </c>
      <c r="F14" s="564" t="s">
        <v>292</v>
      </c>
      <c r="G14" s="564" t="s">
        <v>292</v>
      </c>
      <c r="H14" s="564" t="s">
        <v>292</v>
      </c>
      <c r="I14" s="564" t="s">
        <v>292</v>
      </c>
      <c r="J14" s="564" t="s">
        <v>292</v>
      </c>
      <c r="K14" s="564" t="s">
        <v>292</v>
      </c>
      <c r="L14" s="587" t="s">
        <v>292</v>
      </c>
      <c r="M14" s="264" t="s">
        <v>292</v>
      </c>
      <c r="N14" s="264" t="s">
        <v>292</v>
      </c>
      <c r="O14" s="264" t="s">
        <v>292</v>
      </c>
      <c r="P14" s="264" t="s">
        <v>292</v>
      </c>
      <c r="Q14" s="62"/>
      <c r="R14" s="62"/>
      <c r="S14" s="62" t="s">
        <v>292</v>
      </c>
      <c r="T14" s="62" t="s">
        <v>292</v>
      </c>
      <c r="U14" s="62" t="s">
        <v>292</v>
      </c>
      <c r="V14" s="62"/>
    </row>
    <row r="15" spans="1:22" ht="18">
      <c r="A15" s="44" t="s">
        <v>616</v>
      </c>
      <c r="B15" s="565"/>
      <c r="C15" s="565"/>
      <c r="D15" s="565"/>
      <c r="E15" s="565"/>
      <c r="F15" s="565"/>
      <c r="G15" s="566"/>
      <c r="H15" s="565"/>
      <c r="I15" s="565"/>
      <c r="J15" s="66"/>
      <c r="K15" s="66"/>
      <c r="L15" s="588"/>
      <c r="M15" s="108"/>
      <c r="N15" s="108"/>
      <c r="Q15" s="62"/>
      <c r="R15" s="62"/>
      <c r="S15" s="62" t="s">
        <v>292</v>
      </c>
      <c r="T15" s="62" t="s">
        <v>292</v>
      </c>
      <c r="U15" s="62" t="s">
        <v>292</v>
      </c>
      <c r="V15" s="62"/>
    </row>
    <row r="16" spans="1:23" ht="15">
      <c r="A16" s="44" t="s">
        <v>321</v>
      </c>
      <c r="B16" s="562">
        <v>0.74</v>
      </c>
      <c r="C16" s="562">
        <v>0.34</v>
      </c>
      <c r="D16" s="56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08">
        <v>3.85</v>
      </c>
      <c r="K16" s="574">
        <v>3.51</v>
      </c>
      <c r="L16" s="141">
        <v>11.73</v>
      </c>
      <c r="M16" s="108">
        <v>7.48</v>
      </c>
      <c r="N16" s="108">
        <v>13.35</v>
      </c>
      <c r="O16" s="44">
        <v>12.74</v>
      </c>
      <c r="P16" s="44">
        <v>10.24</v>
      </c>
      <c r="Q16" s="108">
        <v>9.565</v>
      </c>
      <c r="R16" s="108">
        <v>8.31318</v>
      </c>
      <c r="S16" s="108">
        <v>7.85688632224848</v>
      </c>
      <c r="T16" s="108">
        <v>4.056034701058206</v>
      </c>
      <c r="U16" s="108">
        <v>2.75</v>
      </c>
      <c r="V16" s="137">
        <v>3.12</v>
      </c>
      <c r="W16" s="150">
        <v>2.86</v>
      </c>
    </row>
    <row r="17" spans="1:23" ht="15">
      <c r="A17" s="44" t="s">
        <v>322</v>
      </c>
      <c r="B17" s="562">
        <v>0.14</v>
      </c>
      <c r="C17" s="562">
        <v>0</v>
      </c>
      <c r="D17" s="562">
        <v>0.05</v>
      </c>
      <c r="E17" s="132">
        <v>0</v>
      </c>
      <c r="F17" s="132">
        <v>0</v>
      </c>
      <c r="G17" s="132">
        <v>0</v>
      </c>
      <c r="H17" s="562">
        <v>0.02</v>
      </c>
      <c r="I17" s="562">
        <v>0.04</v>
      </c>
      <c r="J17" s="108">
        <v>0.09</v>
      </c>
      <c r="K17" s="140">
        <v>0</v>
      </c>
      <c r="L17" s="140">
        <v>0</v>
      </c>
      <c r="M17" s="140">
        <v>0</v>
      </c>
      <c r="N17" s="162">
        <v>0.02</v>
      </c>
      <c r="O17" s="44">
        <v>0.02</v>
      </c>
      <c r="P17" s="44">
        <v>0.02</v>
      </c>
      <c r="Q17" s="108">
        <v>0.0158</v>
      </c>
      <c r="R17" s="108">
        <v>0.017552</v>
      </c>
      <c r="S17" s="108">
        <v>0.017162</v>
      </c>
      <c r="T17" s="108">
        <v>0.016748</v>
      </c>
      <c r="U17" s="108">
        <v>0.01</v>
      </c>
      <c r="V17" s="654">
        <v>0</v>
      </c>
      <c r="W17" s="654">
        <v>0</v>
      </c>
    </row>
    <row r="18" spans="1:23" ht="15">
      <c r="A18" s="44" t="s">
        <v>137</v>
      </c>
      <c r="B18" s="562">
        <v>0.88</v>
      </c>
      <c r="C18" s="562">
        <v>0.34</v>
      </c>
      <c r="D18" s="562">
        <v>0.05</v>
      </c>
      <c r="E18" s="132">
        <v>0</v>
      </c>
      <c r="F18" s="132">
        <v>0</v>
      </c>
      <c r="G18" s="132">
        <v>0</v>
      </c>
      <c r="H18" s="562">
        <v>0.02</v>
      </c>
      <c r="I18" s="562">
        <v>0.04</v>
      </c>
      <c r="J18" s="562">
        <v>3.94</v>
      </c>
      <c r="K18" s="591">
        <v>3.51</v>
      </c>
      <c r="L18" s="589">
        <v>11.73</v>
      </c>
      <c r="M18" s="160">
        <v>7.48</v>
      </c>
      <c r="N18" s="160">
        <v>13.37</v>
      </c>
      <c r="O18" s="44">
        <v>12.75</v>
      </c>
      <c r="P18" s="44">
        <v>10.26</v>
      </c>
      <c r="Q18" s="108">
        <v>9.581</v>
      </c>
      <c r="R18" s="108">
        <v>8.33073</v>
      </c>
      <c r="S18" s="108">
        <v>7.874048322248477</v>
      </c>
      <c r="T18" s="108">
        <v>4.072782701058205</v>
      </c>
      <c r="U18" s="108">
        <v>2.76</v>
      </c>
      <c r="V18" s="137">
        <v>3.12</v>
      </c>
      <c r="W18" s="150">
        <v>2.86</v>
      </c>
    </row>
    <row r="19" spans="12:22" ht="15">
      <c r="L19" s="587" t="s">
        <v>292</v>
      </c>
      <c r="M19" s="264" t="s">
        <v>292</v>
      </c>
      <c r="N19" s="264" t="s">
        <v>292</v>
      </c>
      <c r="O19" s="264" t="s">
        <v>292</v>
      </c>
      <c r="P19" s="264" t="s">
        <v>292</v>
      </c>
      <c r="Q19" s="62"/>
      <c r="R19" s="62"/>
      <c r="U19" s="62"/>
      <c r="V19" s="62"/>
    </row>
    <row r="20" spans="1:23" ht="18">
      <c r="A20" s="44" t="s">
        <v>69</v>
      </c>
      <c r="L20" s="166" t="s">
        <v>189</v>
      </c>
      <c r="M20" s="52" t="s">
        <v>189</v>
      </c>
      <c r="N20" s="52" t="s">
        <v>189</v>
      </c>
      <c r="O20" s="52" t="s">
        <v>189</v>
      </c>
      <c r="P20" s="52" t="s">
        <v>189</v>
      </c>
      <c r="Q20" s="150" t="s">
        <v>189</v>
      </c>
      <c r="R20" s="150" t="s">
        <v>189</v>
      </c>
      <c r="S20" s="150" t="s">
        <v>189</v>
      </c>
      <c r="T20" s="150" t="s">
        <v>189</v>
      </c>
      <c r="U20" s="150" t="s">
        <v>189</v>
      </c>
      <c r="V20" s="137" t="s">
        <v>189</v>
      </c>
      <c r="W20" s="137" t="s">
        <v>189</v>
      </c>
    </row>
    <row r="21" spans="1:22" ht="1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588"/>
      <c r="M21" s="108"/>
      <c r="N21" s="108"/>
      <c r="Q21" s="62"/>
      <c r="R21" s="62"/>
      <c r="U21" s="62"/>
      <c r="V21" s="62"/>
    </row>
    <row r="22" spans="1:23" ht="18">
      <c r="A22" s="64" t="s">
        <v>70</v>
      </c>
      <c r="B22" s="571">
        <v>10.364</v>
      </c>
      <c r="C22" s="571">
        <v>10.118</v>
      </c>
      <c r="D22" s="571">
        <v>7.832</v>
      </c>
      <c r="E22" s="571">
        <v>6.649</v>
      </c>
      <c r="F22" s="572">
        <v>7.595</v>
      </c>
      <c r="G22" s="573">
        <v>5.844</v>
      </c>
      <c r="H22" s="572">
        <v>5.489</v>
      </c>
      <c r="I22" s="571">
        <v>6.124</v>
      </c>
      <c r="J22" s="574">
        <v>7.314</v>
      </c>
      <c r="K22" s="584">
        <v>6.623</v>
      </c>
      <c r="L22" s="141">
        <v>10.82</v>
      </c>
      <c r="M22" s="108">
        <v>17.47</v>
      </c>
      <c r="N22" s="108">
        <v>11.427</v>
      </c>
      <c r="O22" s="66">
        <v>9.502</v>
      </c>
      <c r="P22" s="66">
        <v>15</v>
      </c>
      <c r="Q22" s="108">
        <v>17.024</v>
      </c>
      <c r="R22" s="108">
        <v>17.9086156287617</v>
      </c>
      <c r="S22" s="108">
        <v>14.612</v>
      </c>
      <c r="T22" s="108">
        <v>16.105726</v>
      </c>
      <c r="U22" s="108">
        <v>13.53</v>
      </c>
      <c r="V22" s="137">
        <v>13.169</v>
      </c>
      <c r="W22" s="137">
        <v>14.216</v>
      </c>
    </row>
    <row r="23" spans="12:22" ht="15">
      <c r="L23" s="65"/>
      <c r="M23" s="62"/>
      <c r="N23" s="62"/>
      <c r="O23" s="62"/>
      <c r="R23" s="62"/>
      <c r="U23" s="62"/>
      <c r="V23" s="62"/>
    </row>
    <row r="24" spans="1:22" ht="15.75">
      <c r="A24" s="248" t="s">
        <v>620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64"/>
      <c r="M24" s="249"/>
      <c r="N24" s="250"/>
      <c r="O24" s="62"/>
      <c r="P24" s="62"/>
      <c r="R24" s="250"/>
      <c r="S24" s="146"/>
      <c r="T24" s="146"/>
      <c r="U24" s="146"/>
      <c r="V24" s="146" t="s">
        <v>257</v>
      </c>
    </row>
    <row r="25" spans="1:22" ht="8.25" customHeight="1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65"/>
      <c r="M25" s="62"/>
      <c r="N25" s="62"/>
      <c r="O25" s="62"/>
      <c r="R25" s="62"/>
      <c r="U25" s="62"/>
      <c r="V25" s="62"/>
    </row>
    <row r="26" spans="1:22" ht="18">
      <c r="A26" s="44" t="s">
        <v>615</v>
      </c>
      <c r="L26" s="65"/>
      <c r="M26" s="62"/>
      <c r="N26" s="62"/>
      <c r="O26" s="62"/>
      <c r="R26" s="62"/>
      <c r="U26" s="62"/>
      <c r="V26" s="62"/>
    </row>
    <row r="27" spans="1:23" ht="15">
      <c r="A27" s="44" t="s">
        <v>241</v>
      </c>
      <c r="B27" s="50">
        <v>2020</v>
      </c>
      <c r="C27" s="50">
        <v>2400</v>
      </c>
      <c r="D27" s="50">
        <v>2100</v>
      </c>
      <c r="E27" s="50">
        <v>1910</v>
      </c>
      <c r="F27" s="50">
        <v>1540</v>
      </c>
      <c r="G27" s="50">
        <v>1380</v>
      </c>
      <c r="H27" s="50">
        <v>1240</v>
      </c>
      <c r="I27" s="57">
        <v>1370</v>
      </c>
      <c r="J27" s="49">
        <v>1690</v>
      </c>
      <c r="K27" s="586">
        <v>1580</v>
      </c>
      <c r="L27" s="102">
        <v>1660</v>
      </c>
      <c r="M27" s="102">
        <v>2130</v>
      </c>
      <c r="N27" s="102">
        <v>1770</v>
      </c>
      <c r="O27" s="50">
        <v>1610</v>
      </c>
      <c r="P27" s="47">
        <v>2060</v>
      </c>
      <c r="Q27" s="47">
        <v>2120</v>
      </c>
      <c r="R27" s="47">
        <v>1810.85477732641</v>
      </c>
      <c r="S27" s="47">
        <v>1907.4530375111829</v>
      </c>
      <c r="T27" s="49">
        <v>1443.7986489318419</v>
      </c>
      <c r="U27" s="49">
        <v>1445</v>
      </c>
      <c r="V27" s="49">
        <v>2070.32434661899</v>
      </c>
      <c r="W27" s="150">
        <v>1459</v>
      </c>
    </row>
    <row r="28" spans="1:23" ht="15">
      <c r="A28" s="44" t="s">
        <v>242</v>
      </c>
      <c r="B28" s="50">
        <v>100</v>
      </c>
      <c r="C28" s="50">
        <v>40</v>
      </c>
      <c r="D28" s="50">
        <v>40</v>
      </c>
      <c r="E28" s="50">
        <v>20</v>
      </c>
      <c r="F28" s="50">
        <v>10</v>
      </c>
      <c r="G28" s="132">
        <v>0</v>
      </c>
      <c r="H28" s="50">
        <v>10</v>
      </c>
      <c r="I28" s="132">
        <v>0</v>
      </c>
      <c r="J28" s="49">
        <v>10</v>
      </c>
      <c r="K28" s="49">
        <v>10</v>
      </c>
      <c r="L28" s="140">
        <v>0</v>
      </c>
      <c r="M28" s="132">
        <v>0</v>
      </c>
      <c r="N28" s="132" t="s">
        <v>152</v>
      </c>
      <c r="O28" s="52" t="s">
        <v>152</v>
      </c>
      <c r="P28" s="52" t="s">
        <v>152</v>
      </c>
      <c r="Q28" s="150" t="s">
        <v>152</v>
      </c>
      <c r="R28" s="150" t="s">
        <v>152</v>
      </c>
      <c r="S28" s="164">
        <v>39.38120426235654</v>
      </c>
      <c r="T28" s="164">
        <v>12.2720636848863</v>
      </c>
      <c r="U28" s="164" t="s">
        <v>152</v>
      </c>
      <c r="V28" s="164">
        <v>12</v>
      </c>
      <c r="W28" s="150">
        <v>61</v>
      </c>
    </row>
    <row r="29" spans="1:23" ht="15">
      <c r="A29" s="44" t="s">
        <v>172</v>
      </c>
      <c r="B29" s="50">
        <v>550</v>
      </c>
      <c r="C29" s="50">
        <v>440</v>
      </c>
      <c r="D29" s="50">
        <v>450</v>
      </c>
      <c r="E29" s="50">
        <v>500</v>
      </c>
      <c r="F29" s="50">
        <v>560</v>
      </c>
      <c r="G29" s="50">
        <v>510</v>
      </c>
      <c r="H29" s="50">
        <v>600</v>
      </c>
      <c r="I29" s="57">
        <v>680</v>
      </c>
      <c r="J29" s="49">
        <v>880</v>
      </c>
      <c r="K29" s="49">
        <v>960</v>
      </c>
      <c r="L29" s="102">
        <v>770</v>
      </c>
      <c r="M29" s="49">
        <v>940</v>
      </c>
      <c r="N29" s="49">
        <v>850</v>
      </c>
      <c r="O29" s="44">
        <v>900</v>
      </c>
      <c r="P29" s="44">
        <v>627.142752504937</v>
      </c>
      <c r="Q29" s="131">
        <v>963.318338224137</v>
      </c>
      <c r="R29" s="135">
        <v>1047.843070484056</v>
      </c>
      <c r="S29" s="131">
        <v>943.2680879828418</v>
      </c>
      <c r="T29" s="135">
        <v>1030.563756551353</v>
      </c>
      <c r="U29" s="131">
        <v>953.279789715025</v>
      </c>
      <c r="V29" s="49">
        <v>1055.887257975551</v>
      </c>
      <c r="W29" s="164">
        <v>957.6838319066027</v>
      </c>
    </row>
    <row r="30" spans="1:23" ht="15">
      <c r="A30" s="44" t="s">
        <v>137</v>
      </c>
      <c r="B30" s="50">
        <v>2700</v>
      </c>
      <c r="C30" s="50">
        <v>2900</v>
      </c>
      <c r="D30" s="50">
        <v>2600</v>
      </c>
      <c r="E30" s="50">
        <v>2400</v>
      </c>
      <c r="F30" s="50">
        <v>2100</v>
      </c>
      <c r="G30" s="50">
        <v>1900</v>
      </c>
      <c r="H30" s="50">
        <v>1800</v>
      </c>
      <c r="I30" s="57">
        <v>2100</v>
      </c>
      <c r="J30" s="49">
        <v>2600</v>
      </c>
      <c r="K30" s="586">
        <v>2600</v>
      </c>
      <c r="L30" s="102">
        <v>2430</v>
      </c>
      <c r="M30" s="102">
        <v>3070</v>
      </c>
      <c r="N30" s="102">
        <v>2620</v>
      </c>
      <c r="O30" s="50">
        <v>2510</v>
      </c>
      <c r="P30" s="47">
        <v>2687.142752504937</v>
      </c>
      <c r="Q30" s="47">
        <v>3083.318338224137</v>
      </c>
      <c r="R30" s="47">
        <v>2858.6978478104656</v>
      </c>
      <c r="S30" s="47">
        <v>2890.102329756381</v>
      </c>
      <c r="T30" s="49">
        <v>2486.634469168081</v>
      </c>
      <c r="U30" s="49">
        <v>2398.279789715025</v>
      </c>
      <c r="V30" s="49">
        <v>3138.2116045945413</v>
      </c>
      <c r="W30" s="49">
        <v>2477.683831906603</v>
      </c>
    </row>
    <row r="31" spans="2:23" ht="15">
      <c r="B31" s="579" t="s">
        <v>292</v>
      </c>
      <c r="C31" s="579" t="s">
        <v>292</v>
      </c>
      <c r="D31" s="579" t="s">
        <v>292</v>
      </c>
      <c r="E31" s="579" t="s">
        <v>292</v>
      </c>
      <c r="F31" s="579" t="s">
        <v>292</v>
      </c>
      <c r="G31" s="579" t="s">
        <v>292</v>
      </c>
      <c r="H31" s="579" t="s">
        <v>292</v>
      </c>
      <c r="I31" s="579" t="s">
        <v>292</v>
      </c>
      <c r="J31" s="579" t="s">
        <v>292</v>
      </c>
      <c r="K31" s="579" t="s">
        <v>292</v>
      </c>
      <c r="L31" s="590" t="s">
        <v>292</v>
      </c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</row>
    <row r="32" spans="1:22" ht="18">
      <c r="A32" s="44" t="s">
        <v>616</v>
      </c>
      <c r="I32" s="578"/>
      <c r="J32" s="49"/>
      <c r="K32" s="49"/>
      <c r="L32" s="102"/>
      <c r="M32" s="49"/>
      <c r="N32" s="49"/>
      <c r="S32" s="44"/>
      <c r="U32" s="62"/>
      <c r="V32" s="62"/>
    </row>
    <row r="33" spans="1:23" ht="15">
      <c r="A33" s="44" t="s">
        <v>321</v>
      </c>
      <c r="B33" s="47">
        <v>0.73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49">
        <v>2910</v>
      </c>
      <c r="K33" s="586">
        <v>3510</v>
      </c>
      <c r="L33" s="102">
        <v>11750</v>
      </c>
      <c r="M33" s="102">
        <v>7490</v>
      </c>
      <c r="N33" s="102">
        <v>13380</v>
      </c>
      <c r="O33" s="50">
        <v>12780</v>
      </c>
      <c r="P33" s="47">
        <v>10270</v>
      </c>
      <c r="Q33" s="47">
        <v>9580</v>
      </c>
      <c r="R33" s="47">
        <v>8324.82</v>
      </c>
      <c r="S33" s="47">
        <v>7869.849104702403</v>
      </c>
      <c r="T33" s="49">
        <v>4067.249246084574</v>
      </c>
      <c r="U33" s="49">
        <v>2762</v>
      </c>
      <c r="V33" s="49">
        <v>3146.12573020842</v>
      </c>
      <c r="W33" s="49">
        <v>2885</v>
      </c>
    </row>
    <row r="34" spans="1:23" ht="15">
      <c r="A34" s="44" t="s">
        <v>322</v>
      </c>
      <c r="B34" s="132">
        <v>0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 t="s">
        <v>152</v>
      </c>
      <c r="O34" s="57" t="s">
        <v>152</v>
      </c>
      <c r="P34" s="57" t="s">
        <v>152</v>
      </c>
      <c r="Q34" s="57" t="s">
        <v>152</v>
      </c>
      <c r="R34" s="57" t="s">
        <v>152</v>
      </c>
      <c r="S34" s="57" t="s">
        <v>152</v>
      </c>
      <c r="T34" s="526" t="s">
        <v>152</v>
      </c>
      <c r="U34" s="526" t="s">
        <v>152</v>
      </c>
      <c r="V34" s="526" t="s">
        <v>152</v>
      </c>
      <c r="W34" s="526" t="s">
        <v>152</v>
      </c>
    </row>
    <row r="35" spans="1:23" ht="15">
      <c r="A35" s="44" t="s">
        <v>137</v>
      </c>
      <c r="B35" s="47">
        <v>0.73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47">
        <v>2910</v>
      </c>
      <c r="K35" s="47">
        <v>3510</v>
      </c>
      <c r="L35" s="47">
        <v>11750</v>
      </c>
      <c r="M35" s="49">
        <v>7490</v>
      </c>
      <c r="N35" s="49">
        <v>13380</v>
      </c>
      <c r="O35" s="50">
        <v>12780</v>
      </c>
      <c r="P35" s="47">
        <v>10270</v>
      </c>
      <c r="Q35" s="47">
        <v>9580</v>
      </c>
      <c r="R35" s="47">
        <v>8324.82</v>
      </c>
      <c r="S35" s="47">
        <v>7869.849104702403</v>
      </c>
      <c r="T35" s="49">
        <v>4067.249246084574</v>
      </c>
      <c r="U35" s="49">
        <v>2762</v>
      </c>
      <c r="V35" s="49">
        <v>3146.12573020842</v>
      </c>
      <c r="W35" s="49">
        <v>2885</v>
      </c>
    </row>
    <row r="36" spans="12:22" ht="15">
      <c r="L36" s="253" t="s">
        <v>292</v>
      </c>
      <c r="M36" s="253" t="s">
        <v>292</v>
      </c>
      <c r="N36" s="253" t="s">
        <v>292</v>
      </c>
      <c r="O36" s="253" t="s">
        <v>292</v>
      </c>
      <c r="P36" s="266" t="s">
        <v>292</v>
      </c>
      <c r="Q36" s="266" t="s">
        <v>292</v>
      </c>
      <c r="R36" s="266" t="s">
        <v>292</v>
      </c>
      <c r="S36" s="266" t="s">
        <v>292</v>
      </c>
      <c r="T36" s="44"/>
      <c r="V36" s="62"/>
    </row>
    <row r="37" spans="1:23" ht="18">
      <c r="A37" s="44" t="s">
        <v>69</v>
      </c>
      <c r="B37" s="52" t="s">
        <v>189</v>
      </c>
      <c r="C37" s="52" t="s">
        <v>189</v>
      </c>
      <c r="D37" s="52" t="s">
        <v>189</v>
      </c>
      <c r="E37" s="52" t="s">
        <v>189</v>
      </c>
      <c r="F37" s="52" t="s">
        <v>189</v>
      </c>
      <c r="G37" s="52" t="s">
        <v>189</v>
      </c>
      <c r="H37" s="52" t="s">
        <v>189</v>
      </c>
      <c r="I37" s="52" t="s">
        <v>189</v>
      </c>
      <c r="J37" s="52" t="s">
        <v>189</v>
      </c>
      <c r="K37" s="52" t="s">
        <v>189</v>
      </c>
      <c r="L37" s="52" t="s">
        <v>189</v>
      </c>
      <c r="M37" s="52" t="s">
        <v>189</v>
      </c>
      <c r="N37" s="52" t="s">
        <v>189</v>
      </c>
      <c r="O37" s="52" t="s">
        <v>189</v>
      </c>
      <c r="P37" s="52" t="s">
        <v>189</v>
      </c>
      <c r="Q37" s="52" t="s">
        <v>189</v>
      </c>
      <c r="R37" s="52" t="s">
        <v>189</v>
      </c>
      <c r="S37" s="52" t="s">
        <v>189</v>
      </c>
      <c r="T37" s="52" t="s">
        <v>189</v>
      </c>
      <c r="U37" s="52" t="s">
        <v>189</v>
      </c>
      <c r="V37" s="150" t="s">
        <v>189</v>
      </c>
      <c r="W37" s="150" t="s">
        <v>189</v>
      </c>
    </row>
    <row r="38" spans="1:23" ht="15">
      <c r="A38" s="64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44"/>
      <c r="V38" s="62"/>
      <c r="W38" s="62"/>
    </row>
    <row r="39" spans="1:23" ht="18">
      <c r="A39" s="64" t="s">
        <v>71</v>
      </c>
      <c r="B39" s="59" t="s">
        <v>189</v>
      </c>
      <c r="C39" s="59" t="s">
        <v>189</v>
      </c>
      <c r="D39" s="59" t="s">
        <v>189</v>
      </c>
      <c r="E39" s="59" t="s">
        <v>189</v>
      </c>
      <c r="F39" s="59" t="s">
        <v>189</v>
      </c>
      <c r="G39" s="59" t="s">
        <v>189</v>
      </c>
      <c r="H39" s="59" t="s">
        <v>189</v>
      </c>
      <c r="I39" s="59" t="s">
        <v>189</v>
      </c>
      <c r="J39" s="59" t="s">
        <v>189</v>
      </c>
      <c r="K39" s="59" t="s">
        <v>189</v>
      </c>
      <c r="L39" s="59" t="s">
        <v>189</v>
      </c>
      <c r="M39" s="53" t="s">
        <v>189</v>
      </c>
      <c r="N39" s="53" t="s">
        <v>189</v>
      </c>
      <c r="O39" s="53" t="s">
        <v>189</v>
      </c>
      <c r="P39" s="53" t="s">
        <v>189</v>
      </c>
      <c r="Q39" s="53" t="s">
        <v>189</v>
      </c>
      <c r="R39" s="53" t="s">
        <v>189</v>
      </c>
      <c r="S39" s="53" t="s">
        <v>189</v>
      </c>
      <c r="T39" s="53" t="s">
        <v>189</v>
      </c>
      <c r="U39" s="53" t="s">
        <v>189</v>
      </c>
      <c r="V39" s="54" t="s">
        <v>189</v>
      </c>
      <c r="W39" s="54" t="s">
        <v>189</v>
      </c>
    </row>
    <row r="40" spans="1:23" ht="15">
      <c r="A40" s="2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8"/>
      <c r="M40" s="258"/>
      <c r="N40" s="259"/>
      <c r="O40" s="259"/>
      <c r="P40" s="259"/>
      <c r="Q40" s="267"/>
      <c r="R40" s="267"/>
      <c r="S40" s="257"/>
      <c r="T40" s="257"/>
      <c r="U40" s="257"/>
      <c r="V40" s="550"/>
      <c r="W40" s="550"/>
    </row>
    <row r="41" spans="1:20" s="56" customFormat="1" ht="12.75">
      <c r="A41" s="104" t="s">
        <v>27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261"/>
      <c r="M41" s="261"/>
      <c r="N41" s="261"/>
      <c r="O41" s="261"/>
      <c r="S41" s="244"/>
      <c r="T41" s="244"/>
    </row>
    <row r="42" spans="1:20" s="56" customFormat="1" ht="12.75">
      <c r="A42" s="104" t="s">
        <v>28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261"/>
      <c r="M42" s="261"/>
      <c r="N42" s="261"/>
      <c r="O42" s="261"/>
      <c r="S42" s="244"/>
      <c r="T42" s="244"/>
    </row>
    <row r="43" spans="1:20" s="56" customFormat="1" ht="12.75">
      <c r="A43" s="104" t="s">
        <v>330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261"/>
      <c r="M43" s="261"/>
      <c r="N43" s="261"/>
      <c r="O43" s="261"/>
      <c r="S43" s="244"/>
      <c r="T43" s="244"/>
    </row>
    <row r="44" spans="1:20" s="56" customFormat="1" ht="12.75">
      <c r="A44" s="104" t="s">
        <v>592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261"/>
      <c r="M44" s="261"/>
      <c r="N44" s="261"/>
      <c r="O44" s="261"/>
      <c r="S44" s="244"/>
      <c r="T44" s="244"/>
    </row>
    <row r="45" spans="1:20" s="56" customFormat="1" ht="12.75">
      <c r="A45" s="262" t="s">
        <v>593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3"/>
      <c r="M45" s="263"/>
      <c r="N45" s="263"/>
      <c r="O45" s="263"/>
      <c r="P45" s="244"/>
      <c r="Q45" s="244"/>
      <c r="R45" s="244"/>
      <c r="S45" s="244"/>
      <c r="T45" s="244"/>
    </row>
    <row r="46" spans="1:20" s="56" customFormat="1" ht="12.75">
      <c r="A46" s="104" t="s">
        <v>323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261"/>
      <c r="M46" s="261"/>
      <c r="N46" s="261"/>
      <c r="O46" s="261"/>
      <c r="S46" s="244"/>
      <c r="T46" s="244"/>
    </row>
    <row r="47" spans="1:20" s="56" customFormat="1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261"/>
      <c r="M47" s="261"/>
      <c r="N47" s="261"/>
      <c r="O47" s="261"/>
      <c r="S47" s="244"/>
      <c r="T47" s="244"/>
    </row>
    <row r="48" ht="11.25" customHeight="1"/>
    <row r="49" spans="1:15" ht="18.75">
      <c r="A49" s="100" t="s">
        <v>35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64"/>
      <c r="M49" s="64"/>
      <c r="N49" s="64"/>
      <c r="O49" s="64"/>
    </row>
    <row r="50" spans="1:23" ht="15.75">
      <c r="A50" s="254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5">
        <v>2000</v>
      </c>
      <c r="M50" s="256">
        <v>2001</v>
      </c>
      <c r="N50" s="256">
        <v>2002</v>
      </c>
      <c r="O50" s="256">
        <v>2003</v>
      </c>
      <c r="P50" s="256">
        <v>2004</v>
      </c>
      <c r="Q50" s="256">
        <v>2005</v>
      </c>
      <c r="R50" s="256">
        <v>2006</v>
      </c>
      <c r="S50" s="256">
        <v>2007</v>
      </c>
      <c r="T50" s="256">
        <v>2008</v>
      </c>
      <c r="U50" s="256">
        <v>2009</v>
      </c>
      <c r="V50" s="256">
        <v>2010</v>
      </c>
      <c r="W50" s="256">
        <v>2011</v>
      </c>
    </row>
    <row r="51" spans="14:23" ht="15">
      <c r="N51" s="174"/>
      <c r="O51" s="175"/>
      <c r="P51" s="175"/>
      <c r="Q51" s="62"/>
      <c r="S51" s="175"/>
      <c r="T51" s="149"/>
      <c r="U51" s="149"/>
      <c r="V51" s="149"/>
      <c r="W51" s="149" t="s">
        <v>133</v>
      </c>
    </row>
    <row r="52" spans="1:20" ht="15">
      <c r="A52" s="44" t="s">
        <v>134</v>
      </c>
      <c r="O52" s="62"/>
      <c r="P52" s="62"/>
      <c r="Q52" s="62"/>
      <c r="S52" s="44"/>
      <c r="T52" s="44"/>
    </row>
    <row r="53" spans="1:23" ht="15">
      <c r="A53" s="44" t="s">
        <v>135</v>
      </c>
      <c r="L53" s="102">
        <v>10822</v>
      </c>
      <c r="M53" s="102">
        <v>17467</v>
      </c>
      <c r="N53" s="102">
        <v>11427</v>
      </c>
      <c r="O53" s="102">
        <v>9501</v>
      </c>
      <c r="P53" s="47">
        <v>14995</v>
      </c>
      <c r="Q53" s="47">
        <v>17024</v>
      </c>
      <c r="R53" s="47">
        <v>17908.6156287617</v>
      </c>
      <c r="S53" s="47">
        <v>14612</v>
      </c>
      <c r="T53" s="47">
        <v>16106</v>
      </c>
      <c r="U53" s="49">
        <v>13532</v>
      </c>
      <c r="V53" s="49">
        <v>13169</v>
      </c>
      <c r="W53" s="49">
        <v>14216</v>
      </c>
    </row>
    <row r="54" spans="1:23" ht="15">
      <c r="A54" s="44" t="s">
        <v>136</v>
      </c>
      <c r="L54" s="102">
        <v>73194</v>
      </c>
      <c r="M54" s="102">
        <v>67003</v>
      </c>
      <c r="N54" s="102">
        <v>67783</v>
      </c>
      <c r="O54" s="102">
        <v>58903</v>
      </c>
      <c r="P54" s="47">
        <v>54454</v>
      </c>
      <c r="Q54" s="47">
        <v>45002</v>
      </c>
      <c r="R54" s="47">
        <v>43994.314849790724</v>
      </c>
      <c r="S54" s="47">
        <v>45581</v>
      </c>
      <c r="T54" s="47">
        <v>42416</v>
      </c>
      <c r="U54" s="49">
        <v>38321</v>
      </c>
      <c r="V54" s="49">
        <v>39891</v>
      </c>
      <c r="W54" s="49">
        <v>33358</v>
      </c>
    </row>
    <row r="55" spans="1:23" ht="15">
      <c r="A55" s="44" t="s">
        <v>137</v>
      </c>
      <c r="L55" s="102">
        <v>84016</v>
      </c>
      <c r="M55" s="102">
        <v>84470</v>
      </c>
      <c r="N55" s="102">
        <v>79208</v>
      </c>
      <c r="O55" s="102">
        <v>68404</v>
      </c>
      <c r="P55" s="47">
        <v>69447</v>
      </c>
      <c r="Q55" s="47">
        <v>62025</v>
      </c>
      <c r="R55" s="47">
        <v>61902.93047855243</v>
      </c>
      <c r="S55" s="47">
        <v>60193</v>
      </c>
      <c r="T55" s="47">
        <v>58521</v>
      </c>
      <c r="U55" s="49">
        <v>51853</v>
      </c>
      <c r="V55" s="49">
        <v>53060</v>
      </c>
      <c r="W55" s="49">
        <v>47573</v>
      </c>
    </row>
    <row r="56" spans="12:23" ht="15">
      <c r="L56" s="102"/>
      <c r="M56" s="49"/>
      <c r="N56" s="49"/>
      <c r="O56" s="49"/>
      <c r="Q56" s="47"/>
      <c r="R56" s="47"/>
      <c r="S56" s="47"/>
      <c r="T56" s="47"/>
      <c r="U56" s="49"/>
      <c r="V56" s="49"/>
      <c r="W56" s="49"/>
    </row>
    <row r="57" spans="1:23" ht="15">
      <c r="A57" s="44" t="s">
        <v>138</v>
      </c>
      <c r="L57" s="102"/>
      <c r="M57" s="49"/>
      <c r="N57" s="49"/>
      <c r="O57" s="49"/>
      <c r="Q57" s="47"/>
      <c r="R57" s="47"/>
      <c r="S57" s="47"/>
      <c r="T57" s="47"/>
      <c r="U57" s="49"/>
      <c r="V57" s="49"/>
      <c r="W57" s="49"/>
    </row>
    <row r="58" spans="1:23" ht="15">
      <c r="A58" s="64" t="s">
        <v>139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102">
        <v>17276</v>
      </c>
      <c r="M58" s="102">
        <v>13510</v>
      </c>
      <c r="N58" s="102">
        <v>18795</v>
      </c>
      <c r="O58" s="102">
        <v>18068</v>
      </c>
      <c r="P58" s="47">
        <v>15947</v>
      </c>
      <c r="Q58" s="47">
        <v>16572</v>
      </c>
      <c r="R58" s="47">
        <v>14679.600371238292</v>
      </c>
      <c r="S58" s="47">
        <v>14138</v>
      </c>
      <c r="T58" s="47">
        <v>9611</v>
      </c>
      <c r="U58" s="49">
        <v>7670</v>
      </c>
      <c r="V58" s="49">
        <v>8722</v>
      </c>
      <c r="W58" s="49">
        <v>7999</v>
      </c>
    </row>
    <row r="59" spans="1:23" ht="15">
      <c r="A59" s="64" t="s">
        <v>140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102">
        <v>25640</v>
      </c>
      <c r="M59" s="102">
        <v>21588</v>
      </c>
      <c r="N59" s="102">
        <v>20088</v>
      </c>
      <c r="O59" s="102">
        <v>19998</v>
      </c>
      <c r="P59" s="47">
        <v>21023</v>
      </c>
      <c r="Q59" s="47">
        <v>26395</v>
      </c>
      <c r="R59" s="47">
        <v>21038.897150209286</v>
      </c>
      <c r="S59" s="47">
        <v>23482</v>
      </c>
      <c r="T59" s="47">
        <v>23975</v>
      </c>
      <c r="U59" s="49">
        <v>22558</v>
      </c>
      <c r="V59" s="49">
        <v>18745</v>
      </c>
      <c r="W59" s="49">
        <v>18378</v>
      </c>
    </row>
    <row r="60" spans="1:23" ht="15">
      <c r="A60" s="64" t="s">
        <v>137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102">
        <v>42916</v>
      </c>
      <c r="M60" s="102">
        <v>35098</v>
      </c>
      <c r="N60" s="102">
        <v>38882</v>
      </c>
      <c r="O60" s="102">
        <v>38068</v>
      </c>
      <c r="P60" s="47">
        <v>36970</v>
      </c>
      <c r="Q60" s="47">
        <v>42967</v>
      </c>
      <c r="R60" s="47">
        <v>35718.49752144758</v>
      </c>
      <c r="S60" s="47">
        <v>37619</v>
      </c>
      <c r="T60" s="47">
        <v>33586</v>
      </c>
      <c r="U60" s="49">
        <v>30228</v>
      </c>
      <c r="V60" s="49">
        <v>27468</v>
      </c>
      <c r="W60" s="49">
        <v>26379</v>
      </c>
    </row>
    <row r="61" spans="1:23" ht="6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102"/>
      <c r="M61" s="102"/>
      <c r="N61" s="102"/>
      <c r="O61" s="102"/>
      <c r="Q61" s="47"/>
      <c r="R61" s="47"/>
      <c r="S61" s="47"/>
      <c r="T61" s="47"/>
      <c r="U61" s="49"/>
      <c r="V61" s="49"/>
      <c r="W61" s="49"/>
    </row>
    <row r="62" spans="1:23" ht="15">
      <c r="A62" s="64" t="s">
        <v>490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48">
        <v>126933</v>
      </c>
      <c r="M62" s="48">
        <v>119568</v>
      </c>
      <c r="N62" s="48">
        <v>118090</v>
      </c>
      <c r="O62" s="48">
        <v>106472</v>
      </c>
      <c r="P62" s="47">
        <v>106417</v>
      </c>
      <c r="Q62" s="47">
        <v>104992</v>
      </c>
      <c r="R62" s="47">
        <v>97621.42800000001</v>
      </c>
      <c r="S62" s="47">
        <v>97812</v>
      </c>
      <c r="T62" s="47">
        <v>92108</v>
      </c>
      <c r="U62" s="49">
        <v>82081</v>
      </c>
      <c r="V62" s="49">
        <v>80525</v>
      </c>
      <c r="W62" s="49">
        <v>73952</v>
      </c>
    </row>
    <row r="63" spans="12:23" ht="6" customHeight="1">
      <c r="L63" s="49"/>
      <c r="M63" s="49"/>
      <c r="N63" s="49"/>
      <c r="O63" s="49"/>
      <c r="S63" s="44"/>
      <c r="T63" s="44"/>
      <c r="U63" s="62"/>
      <c r="V63" s="62"/>
      <c r="W63" s="62"/>
    </row>
    <row r="64" spans="1:23" ht="15">
      <c r="A64" s="257" t="s">
        <v>492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68">
        <v>130512</v>
      </c>
      <c r="M64" s="268">
        <v>123820</v>
      </c>
      <c r="N64" s="268">
        <v>122156</v>
      </c>
      <c r="O64" s="268">
        <v>110535</v>
      </c>
      <c r="P64" s="268">
        <v>110444</v>
      </c>
      <c r="Q64" s="268">
        <v>108890</v>
      </c>
      <c r="R64" s="268">
        <v>101586.999</v>
      </c>
      <c r="S64" s="268">
        <v>101952</v>
      </c>
      <c r="T64" s="268">
        <v>96346</v>
      </c>
      <c r="U64" s="268">
        <v>85547</v>
      </c>
      <c r="V64" s="268">
        <v>84817</v>
      </c>
      <c r="W64" s="268">
        <v>77413.758</v>
      </c>
    </row>
    <row r="66" spans="1:21" s="56" customFormat="1" ht="12.75">
      <c r="A66" s="244" t="s">
        <v>72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</row>
    <row r="67" spans="1:22" s="56" customFormat="1" ht="12.75">
      <c r="A67" s="244" t="s">
        <v>594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</row>
    <row r="68" spans="1:22" s="56" customFormat="1" ht="12.75">
      <c r="A68" s="244" t="s">
        <v>491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</row>
    <row r="69" spans="12:22" ht="15">
      <c r="L69" s="62"/>
      <c r="M69" s="62"/>
      <c r="N69" s="62"/>
      <c r="O69" s="62"/>
      <c r="P69" s="62"/>
      <c r="Q69" s="62"/>
      <c r="R69" s="62"/>
      <c r="U69" s="62"/>
      <c r="V69" s="62"/>
    </row>
    <row r="70" spans="12:15" ht="15">
      <c r="L70" s="176" t="s">
        <v>335</v>
      </c>
      <c r="M70" s="177"/>
      <c r="N70" s="177"/>
      <c r="O70" s="177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64" r:id="rId1"/>
  <headerFooter alignWithMargins="0">
    <oddHeader>&amp;R&amp;"Arial,Bold"&amp;16WATER TRANSPORT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9.57421875" style="494" customWidth="1"/>
    <col min="2" max="10" width="10.8515625" style="494" hidden="1" customWidth="1"/>
    <col min="11" max="11" width="13.00390625" style="494" hidden="1" customWidth="1"/>
    <col min="12" max="17" width="13.00390625" style="494" bestFit="1" customWidth="1"/>
    <col min="18" max="18" width="13.00390625" style="498" bestFit="1" customWidth="1"/>
    <col min="19" max="20" width="13.00390625" style="498" customWidth="1"/>
    <col min="21" max="21" width="14.57421875" style="494" customWidth="1"/>
    <col min="22" max="22" width="12.57421875" style="494" customWidth="1"/>
    <col min="23" max="23" width="9.140625" style="494" customWidth="1"/>
    <col min="24" max="24" width="11.57421875" style="494" customWidth="1"/>
    <col min="25" max="25" width="13.8515625" style="494" customWidth="1"/>
    <col min="26" max="26" width="11.421875" style="494" customWidth="1"/>
    <col min="27" max="16384" width="9.140625" style="494" customWidth="1"/>
  </cols>
  <sheetData>
    <row r="1" spans="1:21" ht="20.25">
      <c r="A1" s="508" t="s">
        <v>34</v>
      </c>
      <c r="B1" s="508"/>
      <c r="C1" s="508"/>
      <c r="D1" s="508"/>
      <c r="E1" s="508"/>
      <c r="F1" s="508"/>
      <c r="G1" s="508"/>
      <c r="H1" s="508"/>
      <c r="I1" s="508"/>
      <c r="J1" s="508"/>
      <c r="K1" s="79"/>
      <c r="L1" s="79"/>
      <c r="M1" s="79"/>
      <c r="N1" s="79"/>
      <c r="O1" s="79"/>
      <c r="P1" s="79"/>
      <c r="Q1" s="79"/>
      <c r="R1" s="79"/>
      <c r="S1" s="509" t="s">
        <v>628</v>
      </c>
      <c r="T1" s="494"/>
      <c r="U1" s="493"/>
    </row>
    <row r="2" spans="1:20" ht="11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2" ht="21" customHeight="1">
      <c r="A3" s="495" t="s">
        <v>142</v>
      </c>
      <c r="B3" s="495">
        <v>1991</v>
      </c>
      <c r="C3" s="495">
        <v>1992</v>
      </c>
      <c r="D3" s="495">
        <v>1993</v>
      </c>
      <c r="E3" s="495">
        <v>1994</v>
      </c>
      <c r="F3" s="495">
        <v>1995</v>
      </c>
      <c r="G3" s="495">
        <v>1996</v>
      </c>
      <c r="H3" s="495">
        <v>1997</v>
      </c>
      <c r="I3" s="495">
        <v>1998</v>
      </c>
      <c r="J3" s="495">
        <v>1999</v>
      </c>
      <c r="K3" s="495">
        <v>2000</v>
      </c>
      <c r="L3" s="495">
        <v>2001</v>
      </c>
      <c r="M3" s="495">
        <v>2002</v>
      </c>
      <c r="N3" s="495">
        <v>2003</v>
      </c>
      <c r="O3" s="495">
        <v>2004</v>
      </c>
      <c r="P3" s="495">
        <v>2005</v>
      </c>
      <c r="Q3" s="495">
        <v>2006</v>
      </c>
      <c r="R3" s="495">
        <v>2007</v>
      </c>
      <c r="S3" s="495">
        <v>2008</v>
      </c>
      <c r="T3" s="495">
        <v>2009</v>
      </c>
      <c r="U3" s="495">
        <v>2010</v>
      </c>
      <c r="V3" s="495">
        <v>2011</v>
      </c>
    </row>
    <row r="4" spans="1:22" ht="20.25" customHeight="1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7"/>
      <c r="N4" s="497"/>
      <c r="O4" s="498"/>
      <c r="P4" s="498"/>
      <c r="Q4" s="497"/>
      <c r="R4" s="497"/>
      <c r="S4" s="497"/>
      <c r="T4" s="497"/>
      <c r="U4" s="497"/>
      <c r="V4" s="497" t="s">
        <v>133</v>
      </c>
    </row>
    <row r="5" spans="1:20" ht="19.5" customHeight="1">
      <c r="A5" s="492" t="s">
        <v>270</v>
      </c>
      <c r="B5" s="492"/>
      <c r="C5" s="492"/>
      <c r="D5" s="492"/>
      <c r="E5" s="492"/>
      <c r="F5" s="492"/>
      <c r="G5" s="492"/>
      <c r="H5" s="492"/>
      <c r="I5" s="492"/>
      <c r="J5" s="492"/>
      <c r="K5" s="79"/>
      <c r="L5" s="79"/>
      <c r="M5" s="79"/>
      <c r="N5" s="79"/>
      <c r="O5" s="79"/>
      <c r="R5" s="494"/>
      <c r="S5" s="494"/>
      <c r="T5" s="494"/>
    </row>
    <row r="6" spans="1:23" ht="19.5" customHeight="1">
      <c r="A6" s="499" t="s">
        <v>377</v>
      </c>
      <c r="B6" s="500">
        <v>844382</v>
      </c>
      <c r="C6" s="500">
        <v>767946</v>
      </c>
      <c r="D6" s="500">
        <v>825392</v>
      </c>
      <c r="E6" s="500">
        <v>875886</v>
      </c>
      <c r="F6" s="500">
        <v>877997</v>
      </c>
      <c r="G6" s="500">
        <v>774393</v>
      </c>
      <c r="H6" s="500">
        <v>861120</v>
      </c>
      <c r="I6" s="500">
        <v>847349</v>
      </c>
      <c r="J6" s="500">
        <v>813455</v>
      </c>
      <c r="K6" s="500">
        <v>764415</v>
      </c>
      <c r="L6" s="500">
        <v>733116</v>
      </c>
      <c r="M6" s="500">
        <v>694255</v>
      </c>
      <c r="N6" s="501">
        <v>684</v>
      </c>
      <c r="O6" s="494">
        <v>690</v>
      </c>
      <c r="P6" s="502">
        <v>630</v>
      </c>
      <c r="Q6" s="502">
        <v>644</v>
      </c>
      <c r="R6" s="502">
        <v>647</v>
      </c>
      <c r="S6" s="502">
        <v>634</v>
      </c>
      <c r="T6" s="536">
        <v>646</v>
      </c>
      <c r="U6" s="536">
        <v>553</v>
      </c>
      <c r="V6" s="536">
        <v>543</v>
      </c>
      <c r="W6" s="502" t="s">
        <v>292</v>
      </c>
    </row>
    <row r="7" spans="1:22" ht="19.5" customHeight="1">
      <c r="A7" s="499" t="s">
        <v>529</v>
      </c>
      <c r="B7" s="500">
        <v>906481</v>
      </c>
      <c r="C7" s="500">
        <v>822812</v>
      </c>
      <c r="D7" s="500">
        <v>891568</v>
      </c>
      <c r="E7" s="500">
        <v>937568</v>
      </c>
      <c r="F7" s="500">
        <v>990082</v>
      </c>
      <c r="G7" s="500">
        <v>871272</v>
      </c>
      <c r="H7" s="500">
        <v>932880</v>
      </c>
      <c r="I7" s="500">
        <v>932951</v>
      </c>
      <c r="J7" s="500">
        <v>876973</v>
      </c>
      <c r="K7" s="500">
        <v>741522</v>
      </c>
      <c r="L7" s="500">
        <v>671263</v>
      </c>
      <c r="M7" s="500">
        <v>578944</v>
      </c>
      <c r="N7" s="501">
        <v>590</v>
      </c>
      <c r="O7" s="494">
        <v>587</v>
      </c>
      <c r="P7" s="502">
        <v>535</v>
      </c>
      <c r="Q7" s="502">
        <v>578</v>
      </c>
      <c r="R7" s="502">
        <v>584</v>
      </c>
      <c r="S7" s="502">
        <v>556</v>
      </c>
      <c r="T7" s="536">
        <v>531</v>
      </c>
      <c r="U7" s="536">
        <v>465</v>
      </c>
      <c r="V7" s="536">
        <v>442</v>
      </c>
    </row>
    <row r="8" spans="1:22" ht="19.5" customHeight="1">
      <c r="A8" s="499" t="s">
        <v>528</v>
      </c>
      <c r="B8" s="500">
        <v>1750863</v>
      </c>
      <c r="C8" s="500">
        <v>1590758</v>
      </c>
      <c r="D8" s="500">
        <v>1716960</v>
      </c>
      <c r="E8" s="500">
        <v>1813454</v>
      </c>
      <c r="F8" s="500">
        <v>1868079</v>
      </c>
      <c r="G8" s="500">
        <v>1645665</v>
      </c>
      <c r="H8" s="500">
        <v>1794000</v>
      </c>
      <c r="I8" s="500">
        <v>1780300</v>
      </c>
      <c r="J8" s="500">
        <v>1690428</v>
      </c>
      <c r="K8" s="500">
        <v>1505937</v>
      </c>
      <c r="L8" s="500">
        <v>1404379</v>
      </c>
      <c r="M8" s="500">
        <v>1273199</v>
      </c>
      <c r="N8" s="501">
        <v>1274</v>
      </c>
      <c r="O8" s="502">
        <v>1277</v>
      </c>
      <c r="P8" s="502">
        <v>1165</v>
      </c>
      <c r="Q8" s="502">
        <v>1222</v>
      </c>
      <c r="R8" s="502">
        <v>1231</v>
      </c>
      <c r="S8" s="502">
        <v>1190</v>
      </c>
      <c r="T8" s="536">
        <v>1177</v>
      </c>
      <c r="U8" s="536">
        <v>1017</v>
      </c>
      <c r="V8" s="536">
        <v>986</v>
      </c>
    </row>
    <row r="9" spans="1:22" ht="19.5" customHeight="1">
      <c r="A9" s="492" t="s">
        <v>260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1"/>
      <c r="P9" s="502"/>
      <c r="Q9" s="502"/>
      <c r="R9" s="502"/>
      <c r="S9" s="502"/>
      <c r="T9" s="536"/>
      <c r="U9" s="536"/>
      <c r="V9" s="536"/>
    </row>
    <row r="10" spans="1:22" ht="19.5" customHeight="1">
      <c r="A10" s="499" t="s">
        <v>377</v>
      </c>
      <c r="B10" s="500">
        <v>413141</v>
      </c>
      <c r="C10" s="500">
        <v>458944</v>
      </c>
      <c r="D10" s="500">
        <v>527790</v>
      </c>
      <c r="E10" s="500">
        <v>539732</v>
      </c>
      <c r="F10" s="500">
        <v>943168</v>
      </c>
      <c r="G10" s="500">
        <v>959201</v>
      </c>
      <c r="H10" s="500">
        <v>1055120</v>
      </c>
      <c r="I10" s="500">
        <v>1272397</v>
      </c>
      <c r="J10" s="500">
        <v>1244452</v>
      </c>
      <c r="K10" s="500">
        <v>1135728</v>
      </c>
      <c r="L10" s="500">
        <v>953364</v>
      </c>
      <c r="M10" s="500">
        <v>1014591</v>
      </c>
      <c r="N10" s="501">
        <v>1113</v>
      </c>
      <c r="O10" s="502">
        <v>1270</v>
      </c>
      <c r="P10" s="502">
        <v>1479</v>
      </c>
      <c r="Q10" s="502">
        <v>1446</v>
      </c>
      <c r="R10" s="502">
        <v>1440</v>
      </c>
      <c r="S10" s="502">
        <v>1294</v>
      </c>
      <c r="T10" s="536">
        <v>1123</v>
      </c>
      <c r="U10" s="536">
        <v>1150</v>
      </c>
      <c r="V10" s="536">
        <v>1340</v>
      </c>
    </row>
    <row r="11" spans="1:22" ht="19.5" customHeight="1">
      <c r="A11" s="499" t="s">
        <v>529</v>
      </c>
      <c r="B11" s="500">
        <v>536182</v>
      </c>
      <c r="C11" s="500">
        <v>613773</v>
      </c>
      <c r="D11" s="500">
        <v>705834</v>
      </c>
      <c r="E11" s="500">
        <v>693173</v>
      </c>
      <c r="F11" s="500">
        <v>1047963</v>
      </c>
      <c r="G11" s="500">
        <v>1065778</v>
      </c>
      <c r="H11" s="500">
        <v>1172355</v>
      </c>
      <c r="I11" s="500">
        <v>1231300</v>
      </c>
      <c r="J11" s="500">
        <v>1192824</v>
      </c>
      <c r="K11" s="500">
        <v>1147037</v>
      </c>
      <c r="L11" s="500">
        <v>1060864</v>
      </c>
      <c r="M11" s="500">
        <v>1084502</v>
      </c>
      <c r="N11" s="501">
        <v>1214</v>
      </c>
      <c r="O11" s="502">
        <v>1579</v>
      </c>
      <c r="P11" s="502">
        <v>1795</v>
      </c>
      <c r="Q11" s="502">
        <v>1699</v>
      </c>
      <c r="R11" s="502">
        <v>1723</v>
      </c>
      <c r="S11" s="502">
        <v>1633</v>
      </c>
      <c r="T11" s="536">
        <v>1448</v>
      </c>
      <c r="U11" s="536">
        <v>1484</v>
      </c>
      <c r="V11" s="536">
        <v>1592</v>
      </c>
    </row>
    <row r="12" spans="1:22" ht="19.5" customHeight="1">
      <c r="A12" s="499" t="s">
        <v>528</v>
      </c>
      <c r="B12" s="500">
        <v>949323</v>
      </c>
      <c r="C12" s="500">
        <v>1072717</v>
      </c>
      <c r="D12" s="500">
        <v>1233624</v>
      </c>
      <c r="E12" s="500">
        <v>1232905</v>
      </c>
      <c r="F12" s="500">
        <v>1991131</v>
      </c>
      <c r="G12" s="500">
        <v>2024979</v>
      </c>
      <c r="H12" s="500">
        <v>2227475</v>
      </c>
      <c r="I12" s="500">
        <v>2503697</v>
      </c>
      <c r="J12" s="500">
        <v>2437276</v>
      </c>
      <c r="K12" s="500">
        <v>2282765</v>
      </c>
      <c r="L12" s="500">
        <v>2014228</v>
      </c>
      <c r="M12" s="500">
        <v>2099093</v>
      </c>
      <c r="N12" s="501">
        <v>2328</v>
      </c>
      <c r="O12" s="502">
        <v>2849</v>
      </c>
      <c r="P12" s="502">
        <v>3274</v>
      </c>
      <c r="Q12" s="502">
        <v>3145</v>
      </c>
      <c r="R12" s="502">
        <v>3163</v>
      </c>
      <c r="S12" s="502">
        <v>2928</v>
      </c>
      <c r="T12" s="536">
        <v>2572</v>
      </c>
      <c r="U12" s="536">
        <v>2634</v>
      </c>
      <c r="V12" s="536">
        <v>2932</v>
      </c>
    </row>
    <row r="13" spans="1:22" ht="19.5" customHeight="1">
      <c r="A13" s="492" t="s">
        <v>269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498"/>
      <c r="P13" s="502"/>
      <c r="Q13" s="502"/>
      <c r="R13" s="502"/>
      <c r="S13" s="502"/>
      <c r="T13" s="536"/>
      <c r="U13" s="536"/>
      <c r="V13" s="536"/>
    </row>
    <row r="14" spans="1:22" ht="19.5" customHeight="1">
      <c r="A14" s="499" t="s">
        <v>377</v>
      </c>
      <c r="B14" s="500">
        <v>81223</v>
      </c>
      <c r="C14" s="500">
        <v>81275</v>
      </c>
      <c r="D14" s="500">
        <v>125206</v>
      </c>
      <c r="E14" s="500">
        <v>141666</v>
      </c>
      <c r="F14" s="500">
        <v>109166</v>
      </c>
      <c r="G14" s="500">
        <v>124210</v>
      </c>
      <c r="H14" s="500">
        <v>76475</v>
      </c>
      <c r="I14" s="500">
        <v>86190</v>
      </c>
      <c r="J14" s="500">
        <v>81603</v>
      </c>
      <c r="K14" s="500">
        <v>154270</v>
      </c>
      <c r="L14" s="500">
        <v>220053</v>
      </c>
      <c r="M14" s="500">
        <v>158015</v>
      </c>
      <c r="N14" s="501">
        <v>156</v>
      </c>
      <c r="O14" s="494">
        <v>162</v>
      </c>
      <c r="P14" s="502">
        <v>185</v>
      </c>
      <c r="Q14" s="502">
        <v>172</v>
      </c>
      <c r="R14" s="502">
        <v>174</v>
      </c>
      <c r="S14" s="502">
        <v>182</v>
      </c>
      <c r="T14" s="536">
        <v>182</v>
      </c>
      <c r="U14" s="536">
        <v>276</v>
      </c>
      <c r="V14" s="536">
        <v>212</v>
      </c>
    </row>
    <row r="15" spans="1:22" ht="19.5" customHeight="1">
      <c r="A15" s="499" t="s">
        <v>529</v>
      </c>
      <c r="B15" s="500">
        <v>1118524</v>
      </c>
      <c r="C15" s="500">
        <v>611638</v>
      </c>
      <c r="D15" s="500">
        <v>342059</v>
      </c>
      <c r="E15" s="500">
        <v>345987</v>
      </c>
      <c r="F15" s="500">
        <v>484887</v>
      </c>
      <c r="G15" s="500">
        <v>511518</v>
      </c>
      <c r="H15" s="500">
        <v>422035</v>
      </c>
      <c r="I15" s="500">
        <v>260011</v>
      </c>
      <c r="J15" s="500">
        <v>147793</v>
      </c>
      <c r="K15" s="500">
        <v>128901</v>
      </c>
      <c r="L15" s="500">
        <v>53468</v>
      </c>
      <c r="M15" s="500">
        <v>82610</v>
      </c>
      <c r="N15" s="501">
        <v>134</v>
      </c>
      <c r="O15" s="494">
        <v>239</v>
      </c>
      <c r="P15" s="502">
        <v>233</v>
      </c>
      <c r="Q15" s="502">
        <v>247</v>
      </c>
      <c r="R15" s="502">
        <v>379</v>
      </c>
      <c r="S15" s="502">
        <v>375</v>
      </c>
      <c r="T15" s="536">
        <v>153</v>
      </c>
      <c r="U15" s="536">
        <v>282</v>
      </c>
      <c r="V15" s="536">
        <v>190</v>
      </c>
    </row>
    <row r="16" spans="1:22" ht="19.5" customHeight="1">
      <c r="A16" s="499" t="s">
        <v>528</v>
      </c>
      <c r="B16" s="500">
        <v>1199747</v>
      </c>
      <c r="C16" s="500">
        <v>692913</v>
      </c>
      <c r="D16" s="500">
        <v>467265</v>
      </c>
      <c r="E16" s="500">
        <v>487653</v>
      </c>
      <c r="F16" s="500">
        <v>594053</v>
      </c>
      <c r="G16" s="500">
        <v>635728</v>
      </c>
      <c r="H16" s="500">
        <v>498510</v>
      </c>
      <c r="I16" s="500">
        <v>346201</v>
      </c>
      <c r="J16" s="500">
        <v>229396</v>
      </c>
      <c r="K16" s="500">
        <v>283171</v>
      </c>
      <c r="L16" s="500">
        <v>273521</v>
      </c>
      <c r="M16" s="500">
        <v>240625</v>
      </c>
      <c r="N16" s="501">
        <v>291</v>
      </c>
      <c r="O16" s="494">
        <v>401</v>
      </c>
      <c r="P16" s="502">
        <v>418</v>
      </c>
      <c r="Q16" s="502">
        <v>419</v>
      </c>
      <c r="R16" s="502">
        <v>553</v>
      </c>
      <c r="S16" s="502">
        <v>557</v>
      </c>
      <c r="T16" s="536">
        <v>335</v>
      </c>
      <c r="U16" s="536">
        <v>558</v>
      </c>
      <c r="V16" s="536">
        <f>SUM(V14:V15)</f>
        <v>402</v>
      </c>
    </row>
    <row r="17" spans="1:22" ht="19.5" customHeight="1">
      <c r="A17" s="492" t="s">
        <v>143</v>
      </c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1"/>
      <c r="P17" s="502"/>
      <c r="Q17" s="502"/>
      <c r="R17" s="502"/>
      <c r="S17" s="502"/>
      <c r="T17" s="536"/>
      <c r="U17" s="536"/>
      <c r="V17" s="536"/>
    </row>
    <row r="18" spans="1:22" ht="19.5" customHeight="1">
      <c r="A18" s="499" t="s">
        <v>377</v>
      </c>
      <c r="B18" s="500">
        <v>4900434</v>
      </c>
      <c r="C18" s="500">
        <v>2685454</v>
      </c>
      <c r="D18" s="500">
        <v>1458651</v>
      </c>
      <c r="E18" s="500">
        <v>2341994</v>
      </c>
      <c r="F18" s="500">
        <v>2380303</v>
      </c>
      <c r="G18" s="500">
        <v>2235885</v>
      </c>
      <c r="H18" s="500">
        <v>2792698</v>
      </c>
      <c r="I18" s="500">
        <v>4323857</v>
      </c>
      <c r="J18" s="500">
        <v>4862195</v>
      </c>
      <c r="K18" s="500">
        <v>4435780</v>
      </c>
      <c r="L18" s="500">
        <v>7880232</v>
      </c>
      <c r="M18" s="500">
        <v>6539741</v>
      </c>
      <c r="N18" s="501">
        <v>6056</v>
      </c>
      <c r="O18" s="502">
        <v>8173</v>
      </c>
      <c r="P18" s="502">
        <v>11868</v>
      </c>
      <c r="Q18" s="502">
        <v>11702</v>
      </c>
      <c r="R18" s="502">
        <v>9323</v>
      </c>
      <c r="S18" s="502">
        <v>10885</v>
      </c>
      <c r="T18" s="536">
        <v>9474</v>
      </c>
      <c r="U18" s="536">
        <v>8982</v>
      </c>
      <c r="V18" s="536">
        <v>9981</v>
      </c>
    </row>
    <row r="19" spans="1:22" ht="19.5" customHeight="1">
      <c r="A19" s="499" t="s">
        <v>529</v>
      </c>
      <c r="B19" s="500">
        <v>3290538</v>
      </c>
      <c r="C19" s="500">
        <v>3507361</v>
      </c>
      <c r="D19" s="500">
        <v>3068263</v>
      </c>
      <c r="E19" s="500">
        <v>4439414</v>
      </c>
      <c r="F19" s="500">
        <v>5193161</v>
      </c>
      <c r="G19" s="500">
        <v>4965014</v>
      </c>
      <c r="H19" s="500">
        <v>4701120</v>
      </c>
      <c r="I19" s="500">
        <v>3803358</v>
      </c>
      <c r="J19" s="500">
        <v>3632905</v>
      </c>
      <c r="K19" s="500">
        <v>2787867</v>
      </c>
      <c r="L19" s="500">
        <v>3188594</v>
      </c>
      <c r="M19" s="500">
        <v>3193353</v>
      </c>
      <c r="N19" s="501">
        <v>3158</v>
      </c>
      <c r="O19" s="502">
        <v>3334</v>
      </c>
      <c r="P19" s="502">
        <v>3870</v>
      </c>
      <c r="Q19" s="502">
        <v>3279</v>
      </c>
      <c r="R19" s="502">
        <v>2740</v>
      </c>
      <c r="S19" s="502">
        <v>3453</v>
      </c>
      <c r="T19" s="536">
        <v>3078</v>
      </c>
      <c r="U19" s="536">
        <v>3301</v>
      </c>
      <c r="V19" s="536">
        <v>3450</v>
      </c>
    </row>
    <row r="20" spans="1:22" ht="19.5" customHeight="1">
      <c r="A20" s="499" t="s">
        <v>528</v>
      </c>
      <c r="B20" s="500">
        <v>8190972</v>
      </c>
      <c r="C20" s="500">
        <v>6192815</v>
      </c>
      <c r="D20" s="500">
        <v>4526914</v>
      </c>
      <c r="E20" s="500">
        <v>6781408</v>
      </c>
      <c r="F20" s="500">
        <v>7573464</v>
      </c>
      <c r="G20" s="500">
        <v>7200899</v>
      </c>
      <c r="H20" s="500">
        <v>7493818</v>
      </c>
      <c r="I20" s="500">
        <v>8127215</v>
      </c>
      <c r="J20" s="500">
        <v>8495100</v>
      </c>
      <c r="K20" s="500">
        <v>7223647</v>
      </c>
      <c r="L20" s="500">
        <v>11068826</v>
      </c>
      <c r="M20" s="500">
        <v>9733094</v>
      </c>
      <c r="N20" s="501">
        <v>9214</v>
      </c>
      <c r="O20" s="502">
        <v>11507</v>
      </c>
      <c r="P20" s="502">
        <v>15737</v>
      </c>
      <c r="Q20" s="502">
        <v>14981</v>
      </c>
      <c r="R20" s="502">
        <v>12063</v>
      </c>
      <c r="S20" s="502">
        <v>14338</v>
      </c>
      <c r="T20" s="536">
        <v>12552</v>
      </c>
      <c r="U20" s="536">
        <v>12283</v>
      </c>
      <c r="V20" s="536">
        <v>13431</v>
      </c>
    </row>
    <row r="21" spans="1:22" ht="19.5" customHeight="1">
      <c r="A21" s="492" t="s">
        <v>151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1"/>
      <c r="P21" s="502"/>
      <c r="Q21" s="502"/>
      <c r="R21" s="502"/>
      <c r="S21" s="502"/>
      <c r="T21" s="536"/>
      <c r="U21" s="536"/>
      <c r="V21" s="536"/>
    </row>
    <row r="22" spans="1:22" ht="19.5" customHeight="1">
      <c r="A22" s="499" t="s">
        <v>377</v>
      </c>
      <c r="B22" s="500" t="s">
        <v>152</v>
      </c>
      <c r="C22" s="500" t="s">
        <v>152</v>
      </c>
      <c r="D22" s="500" t="s">
        <v>152</v>
      </c>
      <c r="E22" s="500" t="s">
        <v>152</v>
      </c>
      <c r="F22" s="500" t="s">
        <v>152</v>
      </c>
      <c r="G22" s="500" t="s">
        <v>152</v>
      </c>
      <c r="H22" s="500" t="s">
        <v>152</v>
      </c>
      <c r="I22" s="500" t="s">
        <v>152</v>
      </c>
      <c r="J22" s="500" t="s">
        <v>152</v>
      </c>
      <c r="K22" s="503" t="s">
        <v>152</v>
      </c>
      <c r="L22" s="500">
        <v>2613</v>
      </c>
      <c r="M22" s="500">
        <v>3618</v>
      </c>
      <c r="N22" s="501">
        <v>3</v>
      </c>
      <c r="O22" s="494">
        <v>1</v>
      </c>
      <c r="P22" s="554">
        <v>0</v>
      </c>
      <c r="Q22" s="554">
        <v>0</v>
      </c>
      <c r="R22" s="554">
        <v>0</v>
      </c>
      <c r="S22" s="554">
        <v>0</v>
      </c>
      <c r="T22" s="554">
        <v>0</v>
      </c>
      <c r="U22" s="554">
        <v>0</v>
      </c>
      <c r="V22" s="674">
        <v>0</v>
      </c>
    </row>
    <row r="23" spans="1:22" ht="19.5" customHeight="1">
      <c r="A23" s="499" t="s">
        <v>529</v>
      </c>
      <c r="B23" s="500">
        <v>4399240</v>
      </c>
      <c r="C23" s="500">
        <v>4735654</v>
      </c>
      <c r="D23" s="500">
        <v>4855171</v>
      </c>
      <c r="E23" s="500">
        <v>4692938</v>
      </c>
      <c r="F23" s="500">
        <v>4859058</v>
      </c>
      <c r="G23" s="500">
        <v>4486207</v>
      </c>
      <c r="H23" s="500">
        <v>4401181</v>
      </c>
      <c r="I23" s="500">
        <v>5140122</v>
      </c>
      <c r="J23" s="500">
        <v>5216894</v>
      </c>
      <c r="K23" s="500">
        <v>5898967</v>
      </c>
      <c r="L23" s="500">
        <v>5468241</v>
      </c>
      <c r="M23" s="500">
        <v>5841968</v>
      </c>
      <c r="N23" s="501">
        <v>5319</v>
      </c>
      <c r="O23" s="502">
        <v>5188</v>
      </c>
      <c r="P23" s="502">
        <v>5439</v>
      </c>
      <c r="Q23" s="502">
        <v>6004</v>
      </c>
      <c r="R23" s="502">
        <v>7050</v>
      </c>
      <c r="S23" s="502">
        <v>6336</v>
      </c>
      <c r="T23" s="536">
        <v>5591</v>
      </c>
      <c r="U23" s="536">
        <v>5846</v>
      </c>
      <c r="V23" s="536">
        <v>6060</v>
      </c>
    </row>
    <row r="24" spans="1:22" ht="19.5" customHeight="1">
      <c r="A24" s="499" t="s">
        <v>528</v>
      </c>
      <c r="B24" s="500">
        <v>4399240</v>
      </c>
      <c r="C24" s="500">
        <v>4735654</v>
      </c>
      <c r="D24" s="500">
        <v>4855171</v>
      </c>
      <c r="E24" s="500">
        <v>4692938</v>
      </c>
      <c r="F24" s="500">
        <v>4859058</v>
      </c>
      <c r="G24" s="500">
        <v>4486207</v>
      </c>
      <c r="H24" s="500">
        <v>4401181</v>
      </c>
      <c r="I24" s="500">
        <v>5140122</v>
      </c>
      <c r="J24" s="500">
        <v>5216894</v>
      </c>
      <c r="K24" s="500">
        <v>5898967</v>
      </c>
      <c r="L24" s="500">
        <v>5470854</v>
      </c>
      <c r="M24" s="500">
        <v>5845586</v>
      </c>
      <c r="N24" s="501">
        <v>5322</v>
      </c>
      <c r="O24" s="502">
        <v>5189</v>
      </c>
      <c r="P24" s="502">
        <v>5439</v>
      </c>
      <c r="Q24" s="502">
        <v>6004</v>
      </c>
      <c r="R24" s="502">
        <v>7050</v>
      </c>
      <c r="S24" s="502">
        <v>6336</v>
      </c>
      <c r="T24" s="536">
        <v>5591</v>
      </c>
      <c r="U24" s="536">
        <v>5846</v>
      </c>
      <c r="V24" s="536">
        <v>6060</v>
      </c>
    </row>
    <row r="25" spans="1:22" ht="19.5" customHeight="1">
      <c r="A25" s="492" t="s">
        <v>530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1"/>
      <c r="P25" s="502"/>
      <c r="Q25" s="502"/>
      <c r="R25" s="502"/>
      <c r="S25" s="502"/>
      <c r="T25" s="536"/>
      <c r="U25" s="536"/>
      <c r="V25" s="536"/>
    </row>
    <row r="26" spans="1:22" ht="19.5" customHeight="1">
      <c r="A26" s="499" t="s">
        <v>377</v>
      </c>
      <c r="B26" s="500">
        <v>146663</v>
      </c>
      <c r="C26" s="500">
        <v>137397</v>
      </c>
      <c r="D26" s="500">
        <v>150149</v>
      </c>
      <c r="E26" s="500">
        <v>146130</v>
      </c>
      <c r="F26" s="500">
        <v>103606</v>
      </c>
      <c r="G26" s="500">
        <v>67152</v>
      </c>
      <c r="H26" s="500">
        <v>115856</v>
      </c>
      <c r="I26" s="500">
        <v>163389</v>
      </c>
      <c r="J26" s="500">
        <v>160582</v>
      </c>
      <c r="K26" s="500">
        <v>232028</v>
      </c>
      <c r="L26" s="500">
        <v>410975</v>
      </c>
      <c r="M26" s="500">
        <v>463343</v>
      </c>
      <c r="N26" s="501">
        <v>445</v>
      </c>
      <c r="O26" s="494">
        <v>375</v>
      </c>
      <c r="P26" s="502">
        <v>371</v>
      </c>
      <c r="Q26" s="502">
        <v>408</v>
      </c>
      <c r="R26" s="502">
        <v>448</v>
      </c>
      <c r="S26" s="502">
        <v>489</v>
      </c>
      <c r="T26" s="536">
        <v>368</v>
      </c>
      <c r="U26" s="536">
        <f>11610-10961</f>
        <v>649</v>
      </c>
      <c r="V26" s="536">
        <v>346.649</v>
      </c>
    </row>
    <row r="27" spans="1:22" ht="19.5" customHeight="1">
      <c r="A27" s="499" t="s">
        <v>529</v>
      </c>
      <c r="B27" s="500">
        <v>155698</v>
      </c>
      <c r="C27" s="500">
        <v>150463</v>
      </c>
      <c r="D27" s="500">
        <v>156535</v>
      </c>
      <c r="E27" s="500">
        <v>176749</v>
      </c>
      <c r="F27" s="500">
        <v>176837</v>
      </c>
      <c r="G27" s="500">
        <v>149196</v>
      </c>
      <c r="H27" s="500">
        <v>176923</v>
      </c>
      <c r="I27" s="500">
        <v>229186</v>
      </c>
      <c r="J27" s="500">
        <v>204362</v>
      </c>
      <c r="K27" s="500">
        <v>196390</v>
      </c>
      <c r="L27" s="500">
        <v>382470</v>
      </c>
      <c r="M27" s="500">
        <v>428482</v>
      </c>
      <c r="N27" s="501">
        <v>441</v>
      </c>
      <c r="O27" s="494">
        <v>411</v>
      </c>
      <c r="P27" s="502">
        <v>381</v>
      </c>
      <c r="Q27" s="502">
        <v>536</v>
      </c>
      <c r="R27" s="502">
        <v>518</v>
      </c>
      <c r="S27" s="502">
        <v>538</v>
      </c>
      <c r="T27" s="536">
        <v>530</v>
      </c>
      <c r="U27" s="536">
        <f>12029-11378</f>
        <v>651</v>
      </c>
      <c r="V27" s="536">
        <v>362.395</v>
      </c>
    </row>
    <row r="28" spans="1:22" ht="19.5" customHeight="1">
      <c r="A28" s="499" t="s">
        <v>528</v>
      </c>
      <c r="B28" s="500">
        <v>302361</v>
      </c>
      <c r="C28" s="500">
        <v>287860</v>
      </c>
      <c r="D28" s="500">
        <v>306684</v>
      </c>
      <c r="E28" s="500">
        <v>322879</v>
      </c>
      <c r="F28" s="500">
        <v>280443</v>
      </c>
      <c r="G28" s="500">
        <v>216348</v>
      </c>
      <c r="H28" s="500">
        <v>292779</v>
      </c>
      <c r="I28" s="500">
        <v>392575</v>
      </c>
      <c r="J28" s="500">
        <v>364944</v>
      </c>
      <c r="K28" s="500">
        <v>428418</v>
      </c>
      <c r="L28" s="500">
        <v>793445</v>
      </c>
      <c r="M28" s="500">
        <v>891825</v>
      </c>
      <c r="N28" s="501">
        <v>887</v>
      </c>
      <c r="O28" s="494">
        <v>786</v>
      </c>
      <c r="P28" s="502">
        <v>752</v>
      </c>
      <c r="Q28" s="502">
        <v>944</v>
      </c>
      <c r="R28" s="502">
        <v>967</v>
      </c>
      <c r="S28" s="502">
        <v>1028</v>
      </c>
      <c r="T28" s="536">
        <v>896</v>
      </c>
      <c r="U28" s="536">
        <f>SUM(U26:U27)</f>
        <v>1300</v>
      </c>
      <c r="V28" s="536">
        <v>709.044</v>
      </c>
    </row>
    <row r="29" spans="1:22" ht="19.5" customHeight="1">
      <c r="A29" s="492" t="s">
        <v>386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1"/>
      <c r="P29" s="502"/>
      <c r="Q29" s="502"/>
      <c r="R29" s="502"/>
      <c r="S29" s="502"/>
      <c r="T29" s="536"/>
      <c r="U29" s="536"/>
      <c r="V29" s="536"/>
    </row>
    <row r="30" spans="1:22" ht="19.5" customHeight="1">
      <c r="A30" s="499" t="s">
        <v>377</v>
      </c>
      <c r="B30" s="500">
        <v>157653</v>
      </c>
      <c r="C30" s="500">
        <v>163430</v>
      </c>
      <c r="D30" s="500">
        <v>164366</v>
      </c>
      <c r="E30" s="500">
        <v>161052</v>
      </c>
      <c r="F30" s="500">
        <v>156774</v>
      </c>
      <c r="G30" s="500">
        <v>164652</v>
      </c>
      <c r="H30" s="500">
        <v>366006</v>
      </c>
      <c r="I30" s="500">
        <v>2859784</v>
      </c>
      <c r="J30" s="500">
        <v>3683452</v>
      </c>
      <c r="K30" s="500">
        <v>7182461</v>
      </c>
      <c r="L30" s="500">
        <v>5755087</v>
      </c>
      <c r="M30" s="500">
        <v>6114835</v>
      </c>
      <c r="N30" s="501">
        <v>4471</v>
      </c>
      <c r="O30" s="502">
        <v>6656</v>
      </c>
      <c r="P30" s="502">
        <v>5344</v>
      </c>
      <c r="Q30" s="502">
        <v>4158</v>
      </c>
      <c r="R30" s="502">
        <v>3655</v>
      </c>
      <c r="S30" s="502">
        <v>776</v>
      </c>
      <c r="T30" s="536">
        <v>169</v>
      </c>
      <c r="U30" s="536">
        <v>184</v>
      </c>
      <c r="V30" s="536">
        <v>186</v>
      </c>
    </row>
    <row r="31" spans="1:22" ht="19.5" customHeight="1">
      <c r="A31" s="499" t="s">
        <v>529</v>
      </c>
      <c r="B31" s="500">
        <v>9006079</v>
      </c>
      <c r="C31" s="500">
        <v>8356899</v>
      </c>
      <c r="D31" s="500">
        <v>11687329</v>
      </c>
      <c r="E31" s="500">
        <v>13936380</v>
      </c>
      <c r="F31" s="500">
        <v>12722123</v>
      </c>
      <c r="G31" s="500">
        <v>11282856</v>
      </c>
      <c r="H31" s="500">
        <v>10117476</v>
      </c>
      <c r="I31" s="500">
        <v>13296702</v>
      </c>
      <c r="J31" s="500">
        <v>13314934</v>
      </c>
      <c r="K31" s="500">
        <v>15615238</v>
      </c>
      <c r="L31" s="500">
        <v>12651652</v>
      </c>
      <c r="M31" s="500">
        <v>12697397</v>
      </c>
      <c r="N31" s="501">
        <v>9951</v>
      </c>
      <c r="O31" s="502">
        <v>11278</v>
      </c>
      <c r="P31" s="502">
        <v>9190</v>
      </c>
      <c r="Q31" s="502">
        <v>7091</v>
      </c>
      <c r="R31" s="502">
        <v>6937</v>
      </c>
      <c r="S31" s="502">
        <v>4014</v>
      </c>
      <c r="T31" s="536">
        <v>3073</v>
      </c>
      <c r="U31" s="536">
        <v>3059</v>
      </c>
      <c r="V31" s="536">
        <v>2158</v>
      </c>
    </row>
    <row r="32" spans="1:22" ht="19.5" customHeight="1">
      <c r="A32" s="499" t="s">
        <v>528</v>
      </c>
      <c r="B32" s="500">
        <v>9163732</v>
      </c>
      <c r="C32" s="500">
        <v>8520329</v>
      </c>
      <c r="D32" s="500">
        <v>11851695</v>
      </c>
      <c r="E32" s="500">
        <v>14097432</v>
      </c>
      <c r="F32" s="500">
        <v>12878897</v>
      </c>
      <c r="G32" s="500">
        <v>11447508</v>
      </c>
      <c r="H32" s="500">
        <v>10483482</v>
      </c>
      <c r="I32" s="500">
        <v>16156486</v>
      </c>
      <c r="J32" s="500">
        <v>16998386</v>
      </c>
      <c r="K32" s="500">
        <v>22797699</v>
      </c>
      <c r="L32" s="500">
        <v>18406739</v>
      </c>
      <c r="M32" s="500">
        <v>18812232</v>
      </c>
      <c r="N32" s="501">
        <v>14422</v>
      </c>
      <c r="O32" s="502">
        <v>17934</v>
      </c>
      <c r="P32" s="502">
        <v>14534</v>
      </c>
      <c r="Q32" s="502">
        <v>11249</v>
      </c>
      <c r="R32" s="502">
        <v>10592</v>
      </c>
      <c r="S32" s="502">
        <v>4789</v>
      </c>
      <c r="T32" s="536">
        <v>3241</v>
      </c>
      <c r="U32" s="536">
        <v>3244</v>
      </c>
      <c r="V32" s="536">
        <v>2344</v>
      </c>
    </row>
    <row r="33" spans="1:22" ht="19.5" customHeight="1">
      <c r="A33" s="492" t="s">
        <v>148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1"/>
      <c r="P33" s="502"/>
      <c r="Q33" s="502"/>
      <c r="R33" s="502"/>
      <c r="S33" s="502"/>
      <c r="T33" s="536"/>
      <c r="U33" s="536"/>
      <c r="V33" s="536"/>
    </row>
    <row r="34" spans="1:22" ht="19.5" customHeight="1">
      <c r="A34" s="499" t="s">
        <v>377</v>
      </c>
      <c r="B34" s="500">
        <v>436434</v>
      </c>
      <c r="C34" s="500">
        <v>430976</v>
      </c>
      <c r="D34" s="500">
        <v>489251</v>
      </c>
      <c r="E34" s="500">
        <v>467106</v>
      </c>
      <c r="F34" s="500">
        <v>441536</v>
      </c>
      <c r="G34" s="500">
        <v>453144</v>
      </c>
      <c r="H34" s="500">
        <v>403614</v>
      </c>
      <c r="I34" s="500">
        <v>362691</v>
      </c>
      <c r="J34" s="500">
        <v>297265</v>
      </c>
      <c r="K34" s="500">
        <v>309940</v>
      </c>
      <c r="L34" s="500">
        <v>553386</v>
      </c>
      <c r="M34" s="500">
        <v>342997</v>
      </c>
      <c r="N34" s="501">
        <v>312</v>
      </c>
      <c r="O34" s="494">
        <v>299</v>
      </c>
      <c r="P34" s="502">
        <v>342</v>
      </c>
      <c r="Q34" s="502">
        <v>311</v>
      </c>
      <c r="R34" s="502">
        <v>352</v>
      </c>
      <c r="S34" s="502">
        <v>372</v>
      </c>
      <c r="T34" s="536">
        <v>309</v>
      </c>
      <c r="U34" s="536">
        <v>323</v>
      </c>
      <c r="V34" s="536">
        <v>343.717</v>
      </c>
    </row>
    <row r="35" spans="1:22" ht="19.5" customHeight="1">
      <c r="A35" s="499" t="s">
        <v>529</v>
      </c>
      <c r="B35" s="500">
        <v>292792</v>
      </c>
      <c r="C35" s="500">
        <v>341507</v>
      </c>
      <c r="D35" s="500">
        <v>419625</v>
      </c>
      <c r="E35" s="500">
        <v>415601</v>
      </c>
      <c r="F35" s="500">
        <v>459333</v>
      </c>
      <c r="G35" s="500">
        <v>346856</v>
      </c>
      <c r="H35" s="500">
        <v>283114</v>
      </c>
      <c r="I35" s="500">
        <v>196125</v>
      </c>
      <c r="J35" s="500">
        <v>188335</v>
      </c>
      <c r="K35" s="500">
        <v>210701</v>
      </c>
      <c r="L35" s="500">
        <v>425498</v>
      </c>
      <c r="M35" s="500">
        <v>309954</v>
      </c>
      <c r="N35" s="501">
        <v>304</v>
      </c>
      <c r="O35" s="494">
        <v>291</v>
      </c>
      <c r="P35" s="502">
        <v>280</v>
      </c>
      <c r="Q35" s="502">
        <v>230</v>
      </c>
      <c r="R35" s="502">
        <v>263</v>
      </c>
      <c r="S35" s="502">
        <v>287</v>
      </c>
      <c r="T35" s="536">
        <v>250</v>
      </c>
      <c r="U35" s="536">
        <v>245</v>
      </c>
      <c r="V35" s="536">
        <v>240.847</v>
      </c>
    </row>
    <row r="36" spans="1:22" ht="19.5" customHeight="1">
      <c r="A36" s="499" t="s">
        <v>528</v>
      </c>
      <c r="B36" s="500">
        <v>729226</v>
      </c>
      <c r="C36" s="500">
        <v>772483</v>
      </c>
      <c r="D36" s="500">
        <v>908876</v>
      </c>
      <c r="E36" s="500">
        <v>882707</v>
      </c>
      <c r="F36" s="500">
        <v>900869</v>
      </c>
      <c r="G36" s="500">
        <v>800000</v>
      </c>
      <c r="H36" s="500">
        <v>686728</v>
      </c>
      <c r="I36" s="500">
        <v>558816</v>
      </c>
      <c r="J36" s="500">
        <v>485600</v>
      </c>
      <c r="K36" s="500">
        <v>520641</v>
      </c>
      <c r="L36" s="500">
        <v>978884</v>
      </c>
      <c r="M36" s="500">
        <v>652951</v>
      </c>
      <c r="N36" s="501">
        <v>616</v>
      </c>
      <c r="O36" s="494">
        <v>590</v>
      </c>
      <c r="P36" s="502">
        <v>622</v>
      </c>
      <c r="Q36" s="502">
        <v>541</v>
      </c>
      <c r="R36" s="502">
        <v>615</v>
      </c>
      <c r="S36" s="502">
        <v>658</v>
      </c>
      <c r="T36" s="536">
        <v>560</v>
      </c>
      <c r="U36" s="536">
        <v>568</v>
      </c>
      <c r="V36" s="536">
        <v>584.564</v>
      </c>
    </row>
    <row r="37" spans="1:22" ht="19.5" customHeight="1">
      <c r="A37" s="492" t="s">
        <v>149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1"/>
      <c r="P37" s="502"/>
      <c r="Q37" s="502"/>
      <c r="R37" s="502"/>
      <c r="S37" s="502"/>
      <c r="T37" s="536"/>
      <c r="U37" s="536"/>
      <c r="V37" s="536"/>
    </row>
    <row r="38" spans="1:22" ht="19.5" customHeight="1">
      <c r="A38" s="499" t="s">
        <v>377</v>
      </c>
      <c r="B38" s="500">
        <v>6615</v>
      </c>
      <c r="C38" s="500">
        <v>11367</v>
      </c>
      <c r="D38" s="500">
        <v>19064</v>
      </c>
      <c r="E38" s="500">
        <v>15015</v>
      </c>
      <c r="F38" s="500">
        <v>15250</v>
      </c>
      <c r="G38" s="500">
        <v>11533</v>
      </c>
      <c r="H38" s="500">
        <v>16176</v>
      </c>
      <c r="I38" s="500">
        <v>1167289</v>
      </c>
      <c r="J38" s="500">
        <v>5146832</v>
      </c>
      <c r="K38" s="500">
        <v>6151175</v>
      </c>
      <c r="L38" s="500">
        <v>5780798</v>
      </c>
      <c r="M38" s="500">
        <v>6156305</v>
      </c>
      <c r="N38" s="501">
        <v>6000</v>
      </c>
      <c r="O38" s="502">
        <v>5382</v>
      </c>
      <c r="P38" s="502">
        <v>3937</v>
      </c>
      <c r="Q38" s="502">
        <v>3705</v>
      </c>
      <c r="R38" s="502">
        <v>2747</v>
      </c>
      <c r="S38" s="502">
        <v>2379</v>
      </c>
      <c r="T38" s="536">
        <v>840</v>
      </c>
      <c r="U38" s="536">
        <v>1021</v>
      </c>
      <c r="V38" s="536">
        <v>748</v>
      </c>
    </row>
    <row r="39" spans="1:22" ht="19.5" customHeight="1">
      <c r="A39" s="499" t="s">
        <v>529</v>
      </c>
      <c r="B39" s="500">
        <v>35912332</v>
      </c>
      <c r="C39" s="500">
        <v>41418660</v>
      </c>
      <c r="D39" s="500">
        <v>39354956</v>
      </c>
      <c r="E39" s="500">
        <v>38577060</v>
      </c>
      <c r="F39" s="500">
        <v>38319472</v>
      </c>
      <c r="G39" s="500">
        <v>38150300</v>
      </c>
      <c r="H39" s="500">
        <v>32065590</v>
      </c>
      <c r="I39" s="500">
        <v>29941706</v>
      </c>
      <c r="J39" s="500">
        <v>32533476</v>
      </c>
      <c r="K39" s="500">
        <v>32052890</v>
      </c>
      <c r="L39" s="500">
        <v>25384853</v>
      </c>
      <c r="M39" s="500">
        <v>23219401</v>
      </c>
      <c r="N39" s="501">
        <v>20360</v>
      </c>
      <c r="O39" s="502">
        <v>18557</v>
      </c>
      <c r="P39" s="502">
        <v>16603</v>
      </c>
      <c r="Q39" s="502">
        <v>15743</v>
      </c>
      <c r="R39" s="502">
        <v>13826</v>
      </c>
      <c r="S39" s="502">
        <v>12160</v>
      </c>
      <c r="T39" s="536">
        <v>10377</v>
      </c>
      <c r="U39" s="536">
        <v>10250</v>
      </c>
      <c r="V39" s="536">
        <v>9405</v>
      </c>
    </row>
    <row r="40" spans="1:22" ht="19.5" customHeight="1">
      <c r="A40" s="499" t="s">
        <v>528</v>
      </c>
      <c r="B40" s="500">
        <v>35918944</v>
      </c>
      <c r="C40" s="500">
        <v>41430028</v>
      </c>
      <c r="D40" s="500">
        <v>39374020</v>
      </c>
      <c r="E40" s="500">
        <v>38592076</v>
      </c>
      <c r="F40" s="500">
        <v>38334720</v>
      </c>
      <c r="G40" s="500">
        <v>38161832</v>
      </c>
      <c r="H40" s="500">
        <v>32081766</v>
      </c>
      <c r="I40" s="500">
        <v>31108996</v>
      </c>
      <c r="J40" s="500">
        <v>37680308</v>
      </c>
      <c r="K40" s="500">
        <v>38204065</v>
      </c>
      <c r="L40" s="500">
        <v>31165651</v>
      </c>
      <c r="M40" s="500">
        <v>29375706</v>
      </c>
      <c r="N40" s="501">
        <v>26360</v>
      </c>
      <c r="O40" s="502">
        <v>23939</v>
      </c>
      <c r="P40" s="502">
        <v>20541</v>
      </c>
      <c r="Q40" s="502">
        <v>19447</v>
      </c>
      <c r="R40" s="502">
        <v>16573</v>
      </c>
      <c r="S40" s="502">
        <v>14539</v>
      </c>
      <c r="T40" s="536">
        <v>11217</v>
      </c>
      <c r="U40" s="536">
        <v>11270</v>
      </c>
      <c r="V40" s="536">
        <v>10153</v>
      </c>
    </row>
    <row r="41" spans="1:22" ht="19.5" customHeight="1">
      <c r="A41" s="492" t="s">
        <v>150</v>
      </c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1"/>
      <c r="P41" s="502"/>
      <c r="Q41" s="502"/>
      <c r="R41" s="502"/>
      <c r="S41" s="502"/>
      <c r="T41" s="536"/>
      <c r="U41" s="536"/>
      <c r="V41" s="536"/>
    </row>
    <row r="42" spans="1:22" ht="19.5" customHeight="1">
      <c r="A42" s="499" t="s">
        <v>377</v>
      </c>
      <c r="B42" s="500">
        <v>193253</v>
      </c>
      <c r="C42" s="500">
        <v>143967</v>
      </c>
      <c r="D42" s="500">
        <v>363769</v>
      </c>
      <c r="E42" s="500">
        <v>995741</v>
      </c>
      <c r="F42" s="500">
        <v>944987</v>
      </c>
      <c r="G42" s="500">
        <v>1993203</v>
      </c>
      <c r="H42" s="500">
        <v>1761762</v>
      </c>
      <c r="I42" s="500">
        <v>2141468</v>
      </c>
      <c r="J42" s="500">
        <v>1190526</v>
      </c>
      <c r="K42" s="500">
        <v>1113685</v>
      </c>
      <c r="L42" s="500">
        <v>1152373</v>
      </c>
      <c r="M42" s="500">
        <v>1179242</v>
      </c>
      <c r="N42" s="501">
        <v>1650</v>
      </c>
      <c r="O42" s="502">
        <v>1552</v>
      </c>
      <c r="P42" s="502">
        <v>1648</v>
      </c>
      <c r="Q42" s="502">
        <v>1608</v>
      </c>
      <c r="R42" s="502">
        <v>1688</v>
      </c>
      <c r="S42" s="502">
        <v>1174</v>
      </c>
      <c r="T42" s="536">
        <v>1300</v>
      </c>
      <c r="U42" s="536">
        <v>1659</v>
      </c>
      <c r="V42" s="536">
        <v>1882</v>
      </c>
    </row>
    <row r="43" spans="1:22" ht="19.5" customHeight="1">
      <c r="A43" s="499" t="s">
        <v>529</v>
      </c>
      <c r="B43" s="500">
        <v>1117455</v>
      </c>
      <c r="C43" s="500">
        <v>848387</v>
      </c>
      <c r="D43" s="500">
        <v>823672</v>
      </c>
      <c r="E43" s="500">
        <v>1474743</v>
      </c>
      <c r="F43" s="500">
        <v>1319403</v>
      </c>
      <c r="G43" s="500">
        <v>2335040</v>
      </c>
      <c r="H43" s="500">
        <v>2209245</v>
      </c>
      <c r="I43" s="500">
        <v>2314390</v>
      </c>
      <c r="J43" s="500">
        <v>1145895</v>
      </c>
      <c r="K43" s="500">
        <v>1215423</v>
      </c>
      <c r="L43" s="500">
        <v>992319</v>
      </c>
      <c r="M43" s="500">
        <v>1479196</v>
      </c>
      <c r="N43" s="501">
        <v>1851</v>
      </c>
      <c r="O43" s="502">
        <v>1656</v>
      </c>
      <c r="P43" s="502">
        <v>1677</v>
      </c>
      <c r="Q43" s="502">
        <v>1598</v>
      </c>
      <c r="R43" s="502">
        <v>1814</v>
      </c>
      <c r="S43" s="502">
        <v>1078</v>
      </c>
      <c r="T43" s="536">
        <v>1565</v>
      </c>
      <c r="U43" s="536">
        <v>2004</v>
      </c>
      <c r="V43" s="536">
        <v>2138</v>
      </c>
    </row>
    <row r="44" spans="1:22" ht="19.5" customHeight="1">
      <c r="A44" s="499" t="s">
        <v>528</v>
      </c>
      <c r="B44" s="500">
        <v>1310708</v>
      </c>
      <c r="C44" s="500">
        <v>992354</v>
      </c>
      <c r="D44" s="500">
        <v>1187441</v>
      </c>
      <c r="E44" s="500">
        <v>2470484</v>
      </c>
      <c r="F44" s="500">
        <v>2264390</v>
      </c>
      <c r="G44" s="500">
        <v>4328243</v>
      </c>
      <c r="H44" s="500">
        <v>3971007</v>
      </c>
      <c r="I44" s="500">
        <v>4455858</v>
      </c>
      <c r="J44" s="500">
        <v>2336421</v>
      </c>
      <c r="K44" s="500">
        <v>2329108</v>
      </c>
      <c r="L44" s="500">
        <v>2144692</v>
      </c>
      <c r="M44" s="500">
        <v>2658438</v>
      </c>
      <c r="N44" s="501">
        <v>3501</v>
      </c>
      <c r="O44" s="502">
        <v>3208</v>
      </c>
      <c r="P44" s="502">
        <v>3325</v>
      </c>
      <c r="Q44" s="502">
        <v>3206</v>
      </c>
      <c r="R44" s="502">
        <v>3502</v>
      </c>
      <c r="S44" s="502">
        <v>2252</v>
      </c>
      <c r="T44" s="536">
        <v>2864</v>
      </c>
      <c r="U44" s="536">
        <v>3663</v>
      </c>
      <c r="V44" s="536">
        <v>4020</v>
      </c>
    </row>
    <row r="45" spans="1:22" ht="19.5" customHeight="1">
      <c r="A45" s="492" t="s">
        <v>271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1"/>
      <c r="P45" s="502"/>
      <c r="R45" s="494"/>
      <c r="S45" s="494"/>
      <c r="T45" s="536"/>
      <c r="U45" s="536"/>
      <c r="V45" s="536"/>
    </row>
    <row r="46" spans="1:22" ht="19.5" customHeight="1">
      <c r="A46" s="499" t="s">
        <v>377</v>
      </c>
      <c r="B46" s="500">
        <v>619205</v>
      </c>
      <c r="C46" s="500">
        <v>685283</v>
      </c>
      <c r="D46" s="500">
        <v>679153</v>
      </c>
      <c r="E46" s="500">
        <v>702508</v>
      </c>
      <c r="F46" s="500">
        <v>637483</v>
      </c>
      <c r="G46" s="500">
        <v>659325</v>
      </c>
      <c r="H46" s="500">
        <v>677070</v>
      </c>
      <c r="I46" s="500">
        <v>671704</v>
      </c>
      <c r="J46" s="500">
        <v>683175</v>
      </c>
      <c r="K46" s="500">
        <v>621524</v>
      </c>
      <c r="L46" s="500">
        <v>602748</v>
      </c>
      <c r="M46" s="500">
        <v>551314</v>
      </c>
      <c r="N46" s="501">
        <v>605</v>
      </c>
      <c r="O46" s="494">
        <v>599</v>
      </c>
      <c r="P46" s="502">
        <v>568</v>
      </c>
      <c r="Q46" s="502">
        <v>549</v>
      </c>
      <c r="R46" s="502">
        <v>562</v>
      </c>
      <c r="S46" s="502">
        <v>551</v>
      </c>
      <c r="T46" s="536">
        <v>524</v>
      </c>
      <c r="U46" s="536">
        <v>520</v>
      </c>
      <c r="V46" s="536">
        <v>437.219</v>
      </c>
    </row>
    <row r="47" spans="1:22" ht="19.5" customHeight="1">
      <c r="A47" s="499" t="s">
        <v>529</v>
      </c>
      <c r="B47" s="500">
        <v>39293</v>
      </c>
      <c r="C47" s="500">
        <v>51554</v>
      </c>
      <c r="D47" s="500">
        <v>44817</v>
      </c>
      <c r="E47" s="500">
        <v>75666</v>
      </c>
      <c r="F47" s="500">
        <v>87892</v>
      </c>
      <c r="G47" s="500">
        <v>85275</v>
      </c>
      <c r="H47" s="500">
        <v>92299</v>
      </c>
      <c r="I47" s="500">
        <v>90991</v>
      </c>
      <c r="J47" s="500">
        <v>100290</v>
      </c>
      <c r="K47" s="500">
        <v>102487</v>
      </c>
      <c r="L47" s="500">
        <v>111452</v>
      </c>
      <c r="M47" s="500">
        <v>134304</v>
      </c>
      <c r="N47" s="501">
        <v>122</v>
      </c>
      <c r="O47" s="494">
        <v>127</v>
      </c>
      <c r="P47" s="502">
        <v>97</v>
      </c>
      <c r="Q47" s="502">
        <v>122</v>
      </c>
      <c r="R47" s="502">
        <v>123</v>
      </c>
      <c r="S47" s="502">
        <v>146</v>
      </c>
      <c r="T47" s="536">
        <v>127</v>
      </c>
      <c r="U47" s="536">
        <v>151</v>
      </c>
      <c r="V47" s="536">
        <v>162.203</v>
      </c>
    </row>
    <row r="48" spans="1:22" ht="19.5" customHeight="1">
      <c r="A48" s="499" t="s">
        <v>528</v>
      </c>
      <c r="B48" s="500">
        <v>658498</v>
      </c>
      <c r="C48" s="500">
        <v>736837</v>
      </c>
      <c r="D48" s="500">
        <v>723970</v>
      </c>
      <c r="E48" s="500">
        <v>778174</v>
      </c>
      <c r="F48" s="500">
        <v>725375</v>
      </c>
      <c r="G48" s="500">
        <v>744600</v>
      </c>
      <c r="H48" s="500">
        <v>769369</v>
      </c>
      <c r="I48" s="500">
        <v>762695</v>
      </c>
      <c r="J48" s="500">
        <v>783465</v>
      </c>
      <c r="K48" s="500">
        <v>724011</v>
      </c>
      <c r="L48" s="500">
        <v>714200</v>
      </c>
      <c r="M48" s="500">
        <v>685618</v>
      </c>
      <c r="N48" s="501">
        <v>727</v>
      </c>
      <c r="O48" s="494">
        <v>726</v>
      </c>
      <c r="P48" s="502">
        <v>665</v>
      </c>
      <c r="Q48" s="502">
        <v>671</v>
      </c>
      <c r="R48" s="502">
        <v>684</v>
      </c>
      <c r="S48" s="502">
        <v>697</v>
      </c>
      <c r="T48" s="536">
        <v>651</v>
      </c>
      <c r="U48" s="536">
        <v>671</v>
      </c>
      <c r="V48" s="536">
        <v>599.422</v>
      </c>
    </row>
    <row r="49" spans="1:22" ht="19.5" customHeight="1">
      <c r="A49" s="492" t="s">
        <v>272</v>
      </c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1"/>
      <c r="P49" s="502"/>
      <c r="Q49" s="502"/>
      <c r="R49" s="502"/>
      <c r="S49" s="502"/>
      <c r="T49" s="536"/>
      <c r="U49" s="536"/>
      <c r="V49" s="536"/>
    </row>
    <row r="50" spans="1:22" ht="19.5" customHeight="1">
      <c r="A50" s="499" t="s">
        <v>377</v>
      </c>
      <c r="B50" s="500">
        <v>1712882</v>
      </c>
      <c r="C50" s="500">
        <v>1296660</v>
      </c>
      <c r="D50" s="500">
        <v>906946</v>
      </c>
      <c r="E50" s="500">
        <v>808572</v>
      </c>
      <c r="F50" s="500">
        <v>732920</v>
      </c>
      <c r="G50" s="500">
        <v>763241</v>
      </c>
      <c r="H50" s="500">
        <v>390166</v>
      </c>
      <c r="I50" s="500">
        <v>1111914</v>
      </c>
      <c r="J50" s="500">
        <v>894416</v>
      </c>
      <c r="K50" s="500">
        <v>729967</v>
      </c>
      <c r="L50" s="500">
        <v>799453</v>
      </c>
      <c r="M50" s="500">
        <v>844874</v>
      </c>
      <c r="N50" s="501">
        <v>600</v>
      </c>
      <c r="O50" s="494">
        <v>390</v>
      </c>
      <c r="P50" s="502">
        <v>606</v>
      </c>
      <c r="Q50" s="502">
        <v>647</v>
      </c>
      <c r="R50" s="502">
        <v>468</v>
      </c>
      <c r="S50" s="502">
        <v>524</v>
      </c>
      <c r="T50" s="536">
        <v>482</v>
      </c>
      <c r="U50" s="536">
        <v>538</v>
      </c>
      <c r="V50" s="536">
        <v>541</v>
      </c>
    </row>
    <row r="51" spans="1:22" ht="19.5" customHeight="1">
      <c r="A51" s="499" t="s">
        <v>529</v>
      </c>
      <c r="B51" s="500">
        <v>310620</v>
      </c>
      <c r="C51" s="500">
        <v>536029</v>
      </c>
      <c r="D51" s="500">
        <v>560262</v>
      </c>
      <c r="E51" s="500">
        <v>615133</v>
      </c>
      <c r="F51" s="500">
        <v>570873</v>
      </c>
      <c r="G51" s="500">
        <v>694386</v>
      </c>
      <c r="H51" s="500">
        <v>428577</v>
      </c>
      <c r="I51" s="500">
        <v>1706186</v>
      </c>
      <c r="J51" s="500">
        <v>1315053</v>
      </c>
      <c r="K51" s="500">
        <v>393082</v>
      </c>
      <c r="L51" s="500">
        <v>539805</v>
      </c>
      <c r="M51" s="500">
        <v>497831</v>
      </c>
      <c r="N51" s="501">
        <v>451</v>
      </c>
      <c r="O51" s="494">
        <v>286</v>
      </c>
      <c r="P51" s="502">
        <v>322</v>
      </c>
      <c r="Q51" s="502">
        <v>300</v>
      </c>
      <c r="R51" s="502">
        <v>321</v>
      </c>
      <c r="S51" s="502">
        <v>347</v>
      </c>
      <c r="T51" s="536">
        <v>315</v>
      </c>
      <c r="U51" s="536">
        <v>568</v>
      </c>
      <c r="V51" s="536">
        <v>513</v>
      </c>
    </row>
    <row r="52" spans="1:22" ht="19.5" customHeight="1">
      <c r="A52" s="499" t="s">
        <v>528</v>
      </c>
      <c r="B52" s="500">
        <v>2023502</v>
      </c>
      <c r="C52" s="500">
        <v>1832689</v>
      </c>
      <c r="D52" s="500">
        <v>1467208</v>
      </c>
      <c r="E52" s="500">
        <v>1423705</v>
      </c>
      <c r="F52" s="500">
        <v>1303793</v>
      </c>
      <c r="G52" s="500">
        <v>1457627</v>
      </c>
      <c r="H52" s="500">
        <v>818743</v>
      </c>
      <c r="I52" s="500">
        <v>2818100</v>
      </c>
      <c r="J52" s="500">
        <v>2209469</v>
      </c>
      <c r="K52" s="500">
        <v>1123049</v>
      </c>
      <c r="L52" s="500">
        <v>1339258</v>
      </c>
      <c r="M52" s="500">
        <v>1342705</v>
      </c>
      <c r="N52" s="501">
        <v>1051</v>
      </c>
      <c r="O52" s="494">
        <v>676</v>
      </c>
      <c r="P52" s="502">
        <v>928</v>
      </c>
      <c r="Q52" s="502">
        <v>947</v>
      </c>
      <c r="R52" s="502">
        <v>790</v>
      </c>
      <c r="S52" s="502">
        <v>871</v>
      </c>
      <c r="T52" s="536">
        <v>797</v>
      </c>
      <c r="U52" s="536">
        <v>1107</v>
      </c>
      <c r="V52" s="536">
        <v>1054</v>
      </c>
    </row>
    <row r="53" spans="1:22" ht="19.5" customHeight="1">
      <c r="A53" s="492" t="s">
        <v>153</v>
      </c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1"/>
      <c r="P53" s="502"/>
      <c r="Q53" s="502"/>
      <c r="R53" s="502"/>
      <c r="S53" s="502"/>
      <c r="T53" s="536"/>
      <c r="U53" s="536"/>
      <c r="V53" s="536"/>
    </row>
    <row r="54" spans="1:22" ht="19.5" customHeight="1">
      <c r="A54" s="499" t="s">
        <v>377</v>
      </c>
      <c r="B54" s="500">
        <v>2096266</v>
      </c>
      <c r="C54" s="500">
        <v>2094377</v>
      </c>
      <c r="D54" s="500">
        <v>2064458</v>
      </c>
      <c r="E54" s="500">
        <v>2007592</v>
      </c>
      <c r="F54" s="500">
        <v>2062830</v>
      </c>
      <c r="G54" s="500">
        <v>2203422</v>
      </c>
      <c r="H54" s="500">
        <v>2195231</v>
      </c>
      <c r="I54" s="500">
        <v>2111020</v>
      </c>
      <c r="J54" s="500">
        <v>1989425</v>
      </c>
      <c r="K54" s="500">
        <v>1898293</v>
      </c>
      <c r="L54" s="500">
        <v>2118314</v>
      </c>
      <c r="M54" s="500">
        <v>1980245</v>
      </c>
      <c r="N54" s="501">
        <v>1794</v>
      </c>
      <c r="O54" s="502">
        <v>2095</v>
      </c>
      <c r="P54" s="502">
        <v>2401</v>
      </c>
      <c r="Q54" s="502">
        <v>2407</v>
      </c>
      <c r="R54" s="502">
        <v>2541</v>
      </c>
      <c r="S54" s="502">
        <v>2407</v>
      </c>
      <c r="T54" s="536">
        <v>2227</v>
      </c>
      <c r="U54" s="536">
        <v>2035</v>
      </c>
      <c r="V54" s="536">
        <v>1966</v>
      </c>
    </row>
    <row r="55" spans="1:22" ht="19.5" customHeight="1">
      <c r="A55" s="499" t="s">
        <v>529</v>
      </c>
      <c r="B55" s="500">
        <v>1960654</v>
      </c>
      <c r="C55" s="500">
        <v>1884249</v>
      </c>
      <c r="D55" s="500">
        <v>1735215</v>
      </c>
      <c r="E55" s="500">
        <v>1471166</v>
      </c>
      <c r="F55" s="500">
        <v>1580763</v>
      </c>
      <c r="G55" s="500">
        <v>1788763</v>
      </c>
      <c r="H55" s="500">
        <v>1817596</v>
      </c>
      <c r="I55" s="500">
        <v>1675271</v>
      </c>
      <c r="J55" s="500">
        <v>1378692</v>
      </c>
      <c r="K55" s="500">
        <v>1479126</v>
      </c>
      <c r="L55" s="500">
        <v>1727104</v>
      </c>
      <c r="M55" s="500">
        <v>1664795</v>
      </c>
      <c r="N55" s="501">
        <v>1438</v>
      </c>
      <c r="O55" s="502">
        <v>1793</v>
      </c>
      <c r="P55" s="502">
        <v>2208</v>
      </c>
      <c r="Q55" s="502">
        <v>2256</v>
      </c>
      <c r="R55" s="502">
        <v>2591</v>
      </c>
      <c r="S55" s="502">
        <v>2426</v>
      </c>
      <c r="T55" s="536">
        <v>1343</v>
      </c>
      <c r="U55" s="536">
        <v>2129</v>
      </c>
      <c r="V55" s="536">
        <v>2198</v>
      </c>
    </row>
    <row r="56" spans="1:22" ht="19.5" customHeight="1">
      <c r="A56" s="499" t="s">
        <v>528</v>
      </c>
      <c r="B56" s="500">
        <v>4056920</v>
      </c>
      <c r="C56" s="500">
        <v>3978626</v>
      </c>
      <c r="D56" s="500">
        <v>3799673</v>
      </c>
      <c r="E56" s="500">
        <v>3478758</v>
      </c>
      <c r="F56" s="500">
        <v>3643593</v>
      </c>
      <c r="G56" s="500">
        <v>3992185</v>
      </c>
      <c r="H56" s="500">
        <v>4012827</v>
      </c>
      <c r="I56" s="500">
        <v>3786291</v>
      </c>
      <c r="J56" s="500">
        <v>3368117</v>
      </c>
      <c r="K56" s="500">
        <v>3377419</v>
      </c>
      <c r="L56" s="500">
        <v>3845418</v>
      </c>
      <c r="M56" s="500">
        <v>3645040</v>
      </c>
      <c r="N56" s="501">
        <v>3233</v>
      </c>
      <c r="O56" s="502">
        <v>3888</v>
      </c>
      <c r="P56" s="502">
        <v>4609</v>
      </c>
      <c r="Q56" s="502">
        <v>4663</v>
      </c>
      <c r="R56" s="502">
        <v>5131</v>
      </c>
      <c r="S56" s="502">
        <v>4833</v>
      </c>
      <c r="T56" s="536">
        <v>4570</v>
      </c>
      <c r="U56" s="536">
        <v>4164</v>
      </c>
      <c r="V56" s="536">
        <v>4165</v>
      </c>
    </row>
    <row r="57" spans="1:22" ht="19.5" customHeight="1">
      <c r="A57" s="492" t="s">
        <v>273</v>
      </c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1"/>
      <c r="P57" s="502"/>
      <c r="Q57" s="502"/>
      <c r="R57" s="502"/>
      <c r="S57" s="502"/>
      <c r="T57" s="536"/>
      <c r="U57" s="536"/>
      <c r="V57" s="536"/>
    </row>
    <row r="58" spans="1:22" ht="19.5" customHeight="1">
      <c r="A58" s="499" t="s">
        <v>377</v>
      </c>
      <c r="B58" s="500">
        <v>392212</v>
      </c>
      <c r="C58" s="500">
        <v>466155</v>
      </c>
      <c r="D58" s="500">
        <v>439553</v>
      </c>
      <c r="E58" s="500">
        <v>451843</v>
      </c>
      <c r="F58" s="500">
        <v>488337</v>
      </c>
      <c r="G58" s="500">
        <v>432986</v>
      </c>
      <c r="H58" s="500">
        <v>412200</v>
      </c>
      <c r="I58" s="500">
        <v>402267</v>
      </c>
      <c r="J58" s="500">
        <v>446884</v>
      </c>
      <c r="K58" s="500">
        <v>515381</v>
      </c>
      <c r="L58" s="500">
        <v>467850</v>
      </c>
      <c r="M58" s="500">
        <v>486122</v>
      </c>
      <c r="N58" s="501">
        <v>578</v>
      </c>
      <c r="O58" s="494">
        <v>585</v>
      </c>
      <c r="P58" s="502">
        <v>466</v>
      </c>
      <c r="Q58" s="502">
        <v>397</v>
      </c>
      <c r="R58" s="502">
        <v>366</v>
      </c>
      <c r="S58" s="502">
        <v>413</v>
      </c>
      <c r="T58" s="536">
        <v>283</v>
      </c>
      <c r="U58" s="536">
        <v>395</v>
      </c>
      <c r="V58" s="536">
        <v>359.14</v>
      </c>
    </row>
    <row r="59" spans="1:22" ht="19.5" customHeight="1">
      <c r="A59" s="499" t="s">
        <v>529</v>
      </c>
      <c r="B59" s="500">
        <v>221972</v>
      </c>
      <c r="C59" s="500">
        <v>207534</v>
      </c>
      <c r="D59" s="500">
        <v>166283</v>
      </c>
      <c r="E59" s="500">
        <v>157474</v>
      </c>
      <c r="F59" s="500">
        <v>190416</v>
      </c>
      <c r="G59" s="500">
        <v>219107</v>
      </c>
      <c r="H59" s="500">
        <v>203345</v>
      </c>
      <c r="I59" s="500">
        <v>158260</v>
      </c>
      <c r="J59" s="500">
        <v>167421</v>
      </c>
      <c r="K59" s="500">
        <v>206079</v>
      </c>
      <c r="L59" s="500">
        <v>207203</v>
      </c>
      <c r="M59" s="500">
        <v>241733</v>
      </c>
      <c r="N59" s="501">
        <v>220</v>
      </c>
      <c r="O59" s="494">
        <v>192</v>
      </c>
      <c r="P59" s="502">
        <v>232</v>
      </c>
      <c r="Q59" s="502">
        <v>244</v>
      </c>
      <c r="R59" s="502">
        <v>216</v>
      </c>
      <c r="S59" s="502">
        <v>196</v>
      </c>
      <c r="T59" s="536">
        <v>140</v>
      </c>
      <c r="U59" s="536">
        <v>116</v>
      </c>
      <c r="V59" s="536">
        <v>128.685</v>
      </c>
    </row>
    <row r="60" spans="1:22" ht="19.5" customHeight="1">
      <c r="A60" s="499" t="s">
        <v>528</v>
      </c>
      <c r="B60" s="500">
        <v>614184</v>
      </c>
      <c r="C60" s="500">
        <v>673689</v>
      </c>
      <c r="D60" s="500">
        <v>605836</v>
      </c>
      <c r="E60" s="500">
        <v>609317</v>
      </c>
      <c r="F60" s="500">
        <v>678753</v>
      </c>
      <c r="G60" s="500">
        <v>652093</v>
      </c>
      <c r="H60" s="500">
        <v>615545</v>
      </c>
      <c r="I60" s="500">
        <v>560527</v>
      </c>
      <c r="J60" s="500">
        <v>614305</v>
      </c>
      <c r="K60" s="500">
        <v>721460</v>
      </c>
      <c r="L60" s="500">
        <v>675053</v>
      </c>
      <c r="M60" s="500">
        <v>727855</v>
      </c>
      <c r="N60" s="501">
        <v>798</v>
      </c>
      <c r="O60" s="494">
        <v>777</v>
      </c>
      <c r="P60" s="502">
        <v>697</v>
      </c>
      <c r="Q60" s="502">
        <v>640</v>
      </c>
      <c r="R60" s="502">
        <v>582</v>
      </c>
      <c r="S60" s="502">
        <v>609</v>
      </c>
      <c r="T60" s="536">
        <v>423</v>
      </c>
      <c r="U60" s="536">
        <v>512</v>
      </c>
      <c r="V60" s="536">
        <v>487.825</v>
      </c>
    </row>
    <row r="61" spans="1:22" ht="19.5" customHeight="1">
      <c r="A61" s="492" t="s">
        <v>274</v>
      </c>
      <c r="B61" s="500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1"/>
      <c r="P61" s="502"/>
      <c r="Q61" s="502"/>
      <c r="R61" s="502"/>
      <c r="S61" s="502"/>
      <c r="T61" s="536"/>
      <c r="U61" s="536"/>
      <c r="V61" s="536"/>
    </row>
    <row r="62" spans="1:22" ht="19.5" customHeight="1">
      <c r="A62" s="499" t="s">
        <v>377</v>
      </c>
      <c r="B62" s="500">
        <v>849348</v>
      </c>
      <c r="C62" s="500">
        <v>814036</v>
      </c>
      <c r="D62" s="500">
        <v>780710</v>
      </c>
      <c r="E62" s="500">
        <v>832340</v>
      </c>
      <c r="F62" s="500">
        <v>777129</v>
      </c>
      <c r="G62" s="500">
        <v>868455</v>
      </c>
      <c r="H62" s="500">
        <v>835223</v>
      </c>
      <c r="I62" s="500">
        <v>811870</v>
      </c>
      <c r="J62" s="500">
        <v>801889</v>
      </c>
      <c r="K62" s="500">
        <v>757033</v>
      </c>
      <c r="L62" s="500">
        <v>829082</v>
      </c>
      <c r="M62" s="500">
        <v>827081</v>
      </c>
      <c r="N62" s="501">
        <v>753</v>
      </c>
      <c r="O62" s="494">
        <v>766</v>
      </c>
      <c r="P62" s="502">
        <v>905</v>
      </c>
      <c r="Q62" s="502">
        <v>918</v>
      </c>
      <c r="R62" s="502">
        <v>809</v>
      </c>
      <c r="S62" s="502">
        <v>788</v>
      </c>
      <c r="T62" s="536">
        <v>632</v>
      </c>
      <c r="U62" s="536">
        <v>754</v>
      </c>
      <c r="V62" s="536">
        <v>721</v>
      </c>
    </row>
    <row r="63" spans="1:22" ht="19.5" customHeight="1">
      <c r="A63" s="499" t="s">
        <v>529</v>
      </c>
      <c r="B63" s="500">
        <v>358172</v>
      </c>
      <c r="C63" s="500">
        <v>241085</v>
      </c>
      <c r="D63" s="500">
        <v>202629</v>
      </c>
      <c r="E63" s="500">
        <v>199585</v>
      </c>
      <c r="F63" s="500">
        <v>298867</v>
      </c>
      <c r="G63" s="500">
        <v>281586</v>
      </c>
      <c r="H63" s="500">
        <v>288894</v>
      </c>
      <c r="I63" s="500">
        <v>249568</v>
      </c>
      <c r="J63" s="500">
        <v>270076</v>
      </c>
      <c r="K63" s="500">
        <v>289549</v>
      </c>
      <c r="L63" s="500">
        <v>271824</v>
      </c>
      <c r="M63" s="500">
        <v>275777</v>
      </c>
      <c r="N63" s="501">
        <v>264</v>
      </c>
      <c r="O63" s="494">
        <v>291</v>
      </c>
      <c r="P63" s="502">
        <v>317</v>
      </c>
      <c r="Q63" s="502">
        <v>284</v>
      </c>
      <c r="R63" s="502">
        <v>226</v>
      </c>
      <c r="S63" s="502">
        <v>190</v>
      </c>
      <c r="T63" s="536">
        <v>177</v>
      </c>
      <c r="U63" s="536">
        <v>209</v>
      </c>
      <c r="V63" s="536">
        <v>208</v>
      </c>
    </row>
    <row r="64" spans="1:24" ht="19.5" customHeight="1">
      <c r="A64" s="499" t="s">
        <v>528</v>
      </c>
      <c r="B64" s="500">
        <v>1207520</v>
      </c>
      <c r="C64" s="500">
        <v>1055121</v>
      </c>
      <c r="D64" s="500">
        <v>983339</v>
      </c>
      <c r="E64" s="500">
        <v>1031925</v>
      </c>
      <c r="F64" s="500">
        <v>1075996</v>
      </c>
      <c r="G64" s="500">
        <v>1150041</v>
      </c>
      <c r="H64" s="500">
        <v>1124117</v>
      </c>
      <c r="I64" s="500">
        <v>1061438</v>
      </c>
      <c r="J64" s="500">
        <v>1071965</v>
      </c>
      <c r="K64" s="500">
        <v>1046582</v>
      </c>
      <c r="L64" s="500">
        <v>1100906</v>
      </c>
      <c r="M64" s="500">
        <v>1102858</v>
      </c>
      <c r="N64" s="501">
        <v>1016</v>
      </c>
      <c r="O64" s="502">
        <v>1058</v>
      </c>
      <c r="P64" s="502">
        <v>1222</v>
      </c>
      <c r="Q64" s="502">
        <v>1202</v>
      </c>
      <c r="R64" s="502">
        <v>1035</v>
      </c>
      <c r="S64" s="502">
        <v>978</v>
      </c>
      <c r="T64" s="536">
        <v>810</v>
      </c>
      <c r="U64" s="536">
        <v>962</v>
      </c>
      <c r="V64" s="536">
        <v>929</v>
      </c>
      <c r="X64" s="536"/>
    </row>
    <row r="65" spans="1:24" ht="19.5" customHeight="1">
      <c r="A65" s="492" t="s">
        <v>275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1"/>
      <c r="P65" s="502"/>
      <c r="Q65" s="502"/>
      <c r="R65" s="502"/>
      <c r="S65" s="502"/>
      <c r="T65" s="536"/>
      <c r="U65" s="536"/>
      <c r="V65" s="536"/>
      <c r="X65" s="536"/>
    </row>
    <row r="66" spans="1:24" ht="19.5" customHeight="1">
      <c r="A66" s="499" t="s">
        <v>377</v>
      </c>
      <c r="B66" s="500">
        <v>279283</v>
      </c>
      <c r="C66" s="500">
        <v>245109</v>
      </c>
      <c r="D66" s="500">
        <v>223166</v>
      </c>
      <c r="E66" s="500">
        <v>232657</v>
      </c>
      <c r="F66" s="500">
        <v>198289</v>
      </c>
      <c r="G66" s="500">
        <v>172871</v>
      </c>
      <c r="H66" s="500">
        <v>149713</v>
      </c>
      <c r="I66" s="500">
        <v>232989</v>
      </c>
      <c r="J66" s="500">
        <v>240175</v>
      </c>
      <c r="K66" s="500">
        <v>264238</v>
      </c>
      <c r="L66" s="500">
        <v>211634</v>
      </c>
      <c r="M66" s="500">
        <v>167828</v>
      </c>
      <c r="N66" s="501">
        <v>137</v>
      </c>
      <c r="O66" s="494">
        <v>150</v>
      </c>
      <c r="P66" s="502">
        <v>133</v>
      </c>
      <c r="Q66" s="502">
        <v>147</v>
      </c>
      <c r="R66" s="502">
        <v>144</v>
      </c>
      <c r="S66" s="502">
        <v>141</v>
      </c>
      <c r="T66" s="536">
        <v>120</v>
      </c>
      <c r="U66" s="536">
        <v>99</v>
      </c>
      <c r="V66" s="536">
        <v>61.025</v>
      </c>
      <c r="X66" s="536"/>
    </row>
    <row r="67" spans="1:22" ht="19.5" customHeight="1">
      <c r="A67" s="499" t="s">
        <v>529</v>
      </c>
      <c r="B67" s="500">
        <v>50129</v>
      </c>
      <c r="C67" s="500">
        <v>25584</v>
      </c>
      <c r="D67" s="500">
        <v>27379</v>
      </c>
      <c r="E67" s="500">
        <v>27912</v>
      </c>
      <c r="F67" s="500">
        <v>39572</v>
      </c>
      <c r="G67" s="500">
        <v>22035</v>
      </c>
      <c r="H67" s="500">
        <v>11511</v>
      </c>
      <c r="I67" s="500">
        <v>6817</v>
      </c>
      <c r="J67" s="500">
        <v>1851</v>
      </c>
      <c r="K67" s="500">
        <v>1291</v>
      </c>
      <c r="L67" s="500">
        <v>6294</v>
      </c>
      <c r="M67" s="500">
        <v>8309</v>
      </c>
      <c r="N67" s="501">
        <v>7</v>
      </c>
      <c r="O67" s="494">
        <v>9</v>
      </c>
      <c r="P67" s="502">
        <v>7</v>
      </c>
      <c r="Q67" s="502">
        <v>1</v>
      </c>
      <c r="R67" s="503" t="s">
        <v>152</v>
      </c>
      <c r="S67" s="502">
        <v>1</v>
      </c>
      <c r="T67" s="536">
        <v>6</v>
      </c>
      <c r="U67" s="536">
        <v>4</v>
      </c>
      <c r="V67" s="536">
        <v>13.252</v>
      </c>
    </row>
    <row r="68" spans="1:22" ht="19.5" customHeight="1">
      <c r="A68" s="499" t="s">
        <v>528</v>
      </c>
      <c r="B68" s="500">
        <v>329412</v>
      </c>
      <c r="C68" s="500">
        <v>270693</v>
      </c>
      <c r="D68" s="500">
        <v>250545</v>
      </c>
      <c r="E68" s="500">
        <v>260569</v>
      </c>
      <c r="F68" s="500">
        <v>237861</v>
      </c>
      <c r="G68" s="500">
        <v>194906</v>
      </c>
      <c r="H68" s="500">
        <v>161224</v>
      </c>
      <c r="I68" s="500">
        <v>239806</v>
      </c>
      <c r="J68" s="500">
        <v>242026</v>
      </c>
      <c r="K68" s="500">
        <v>265529</v>
      </c>
      <c r="L68" s="500">
        <v>217928</v>
      </c>
      <c r="M68" s="500">
        <v>176137</v>
      </c>
      <c r="N68" s="501">
        <v>144</v>
      </c>
      <c r="O68" s="494">
        <v>159</v>
      </c>
      <c r="P68" s="502">
        <v>139</v>
      </c>
      <c r="Q68" s="502">
        <v>148</v>
      </c>
      <c r="R68" s="502">
        <v>144</v>
      </c>
      <c r="S68" s="502">
        <v>141</v>
      </c>
      <c r="T68" s="536">
        <v>125</v>
      </c>
      <c r="U68" s="536">
        <v>103</v>
      </c>
      <c r="V68" s="536">
        <v>74.277</v>
      </c>
    </row>
    <row r="69" spans="1:22" ht="19.5" customHeight="1">
      <c r="A69" s="492" t="s">
        <v>154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1"/>
      <c r="P69" s="502"/>
      <c r="Q69" s="502"/>
      <c r="R69" s="502"/>
      <c r="S69" s="502"/>
      <c r="T69" s="536"/>
      <c r="U69" s="536"/>
      <c r="V69" s="536"/>
    </row>
    <row r="70" spans="1:22" ht="19.5" customHeight="1">
      <c r="A70" s="499" t="s">
        <v>377</v>
      </c>
      <c r="B70" s="500">
        <v>4853112</v>
      </c>
      <c r="C70" s="500">
        <v>4239361</v>
      </c>
      <c r="D70" s="500">
        <v>4607114</v>
      </c>
      <c r="E70" s="500">
        <v>4477422</v>
      </c>
      <c r="F70" s="500">
        <v>4125193</v>
      </c>
      <c r="G70" s="500">
        <v>4127098</v>
      </c>
      <c r="H70" s="500">
        <v>4080618</v>
      </c>
      <c r="I70" s="500">
        <v>4283721</v>
      </c>
      <c r="J70" s="500">
        <v>3263326</v>
      </c>
      <c r="K70" s="500">
        <v>3929079</v>
      </c>
      <c r="L70" s="500">
        <v>4972300</v>
      </c>
      <c r="M70" s="500">
        <v>4865052</v>
      </c>
      <c r="N70" s="501">
        <v>4446</v>
      </c>
      <c r="O70" s="502">
        <v>3966</v>
      </c>
      <c r="P70" s="502">
        <v>4778</v>
      </c>
      <c r="Q70" s="502">
        <v>5353</v>
      </c>
      <c r="R70" s="502">
        <v>5431</v>
      </c>
      <c r="S70" s="502">
        <v>4856</v>
      </c>
      <c r="T70" s="536">
        <v>4309</v>
      </c>
      <c r="U70" s="536">
        <v>5015</v>
      </c>
      <c r="V70" s="536">
        <v>4307</v>
      </c>
    </row>
    <row r="71" spans="1:22" ht="19.5" customHeight="1">
      <c r="A71" s="499" t="s">
        <v>529</v>
      </c>
      <c r="B71" s="500">
        <v>18010432</v>
      </c>
      <c r="C71" s="500">
        <v>19030654</v>
      </c>
      <c r="D71" s="500">
        <v>21767304</v>
      </c>
      <c r="E71" s="500">
        <v>39881344</v>
      </c>
      <c r="F71" s="500">
        <v>42957532</v>
      </c>
      <c r="G71" s="500">
        <v>41455776</v>
      </c>
      <c r="H71" s="500">
        <v>39021744</v>
      </c>
      <c r="I71" s="500">
        <v>40116516</v>
      </c>
      <c r="J71" s="500">
        <v>42132344</v>
      </c>
      <c r="K71" s="500">
        <v>37213552</v>
      </c>
      <c r="L71" s="500">
        <v>36634933</v>
      </c>
      <c r="M71" s="500">
        <v>37336704</v>
      </c>
      <c r="N71" s="501">
        <v>34306</v>
      </c>
      <c r="O71" s="502">
        <v>30926</v>
      </c>
      <c r="P71" s="502">
        <v>29440</v>
      </c>
      <c r="Q71" s="502">
        <v>26203</v>
      </c>
      <c r="R71" s="502">
        <v>31249</v>
      </c>
      <c r="S71" s="502">
        <v>34199</v>
      </c>
      <c r="T71" s="536">
        <v>32381</v>
      </c>
      <c r="U71" s="536">
        <v>29321</v>
      </c>
      <c r="V71" s="536">
        <v>23571</v>
      </c>
    </row>
    <row r="72" spans="1:24" ht="19.5" customHeight="1">
      <c r="A72" s="499" t="s">
        <v>528</v>
      </c>
      <c r="B72" s="500">
        <v>22863546</v>
      </c>
      <c r="C72" s="500">
        <v>23270018</v>
      </c>
      <c r="D72" s="500">
        <v>26374420</v>
      </c>
      <c r="E72" s="500">
        <v>44358760</v>
      </c>
      <c r="F72" s="500">
        <v>47082728</v>
      </c>
      <c r="G72" s="500">
        <v>45582876</v>
      </c>
      <c r="H72" s="500">
        <v>43102360</v>
      </c>
      <c r="I72" s="500">
        <v>44400232</v>
      </c>
      <c r="J72" s="500">
        <v>45395668</v>
      </c>
      <c r="K72" s="500">
        <v>41142631</v>
      </c>
      <c r="L72" s="500">
        <v>41607233</v>
      </c>
      <c r="M72" s="500">
        <v>42201756</v>
      </c>
      <c r="N72" s="501">
        <v>38752</v>
      </c>
      <c r="O72" s="502">
        <v>34892</v>
      </c>
      <c r="P72" s="502">
        <v>34218</v>
      </c>
      <c r="Q72" s="502">
        <v>31556</v>
      </c>
      <c r="R72" s="502">
        <v>36681</v>
      </c>
      <c r="S72" s="502">
        <v>39054</v>
      </c>
      <c r="T72" s="536">
        <v>36690</v>
      </c>
      <c r="U72" s="536">
        <v>34335</v>
      </c>
      <c r="V72" s="536">
        <v>27878</v>
      </c>
      <c r="X72" s="694"/>
    </row>
    <row r="73" spans="1:22" ht="19.5" customHeight="1">
      <c r="A73" s="492" t="s">
        <v>531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1"/>
      <c r="P73" s="502"/>
      <c r="R73" s="494"/>
      <c r="S73" s="494"/>
      <c r="T73" s="536"/>
      <c r="U73" s="536"/>
      <c r="V73" s="536"/>
    </row>
    <row r="74" spans="1:25" ht="19.5" customHeight="1">
      <c r="A74" s="499" t="s">
        <v>377</v>
      </c>
      <c r="B74" s="500">
        <v>203457</v>
      </c>
      <c r="C74" s="500">
        <v>206186</v>
      </c>
      <c r="D74" s="500">
        <v>218054</v>
      </c>
      <c r="E74" s="500">
        <v>218155</v>
      </c>
      <c r="F74" s="500">
        <v>210974</v>
      </c>
      <c r="G74" s="500">
        <v>240164</v>
      </c>
      <c r="H74" s="500">
        <v>251172</v>
      </c>
      <c r="I74" s="500">
        <v>265472</v>
      </c>
      <c r="J74" s="500">
        <v>317295</v>
      </c>
      <c r="K74" s="500">
        <v>337900</v>
      </c>
      <c r="L74" s="500">
        <v>297837</v>
      </c>
      <c r="M74" s="500">
        <v>327541</v>
      </c>
      <c r="N74" s="501">
        <v>252</v>
      </c>
      <c r="O74" s="494">
        <v>280</v>
      </c>
      <c r="P74" s="502">
        <v>254</v>
      </c>
      <c r="Q74" s="502">
        <v>263</v>
      </c>
      <c r="R74" s="502">
        <v>272</v>
      </c>
      <c r="S74" s="502">
        <v>281</v>
      </c>
      <c r="T74" s="536">
        <v>284</v>
      </c>
      <c r="U74" s="536">
        <f>12834-12543</f>
        <v>291</v>
      </c>
      <c r="V74" s="536">
        <v>301.882</v>
      </c>
      <c r="X74" s="502"/>
      <c r="Y74" s="502"/>
    </row>
    <row r="75" spans="1:25" ht="19.5" customHeight="1">
      <c r="A75" s="499" t="s">
        <v>529</v>
      </c>
      <c r="B75" s="500">
        <v>193325</v>
      </c>
      <c r="C75" s="500">
        <v>274733</v>
      </c>
      <c r="D75" s="500">
        <v>360147</v>
      </c>
      <c r="E75" s="500">
        <v>272292</v>
      </c>
      <c r="F75" s="500">
        <v>343001</v>
      </c>
      <c r="G75" s="500">
        <v>291743</v>
      </c>
      <c r="H75" s="500">
        <v>282880</v>
      </c>
      <c r="I75" s="500">
        <v>248590</v>
      </c>
      <c r="J75" s="500">
        <v>162808</v>
      </c>
      <c r="K75" s="500">
        <v>298832</v>
      </c>
      <c r="L75" s="500">
        <v>301115</v>
      </c>
      <c r="M75" s="500">
        <v>363267</v>
      </c>
      <c r="N75" s="501">
        <v>349</v>
      </c>
      <c r="O75" s="494">
        <v>309</v>
      </c>
      <c r="P75" s="502">
        <v>349</v>
      </c>
      <c r="Q75" s="502">
        <v>339</v>
      </c>
      <c r="R75" s="502">
        <v>324</v>
      </c>
      <c r="S75" s="502">
        <v>263</v>
      </c>
      <c r="T75" s="536">
        <v>1192</v>
      </c>
      <c r="U75" s="536">
        <f>48345-48056</f>
        <v>289</v>
      </c>
      <c r="V75" s="536">
        <v>302.744</v>
      </c>
      <c r="X75" s="502"/>
      <c r="Y75" s="502"/>
    </row>
    <row r="76" spans="1:25" ht="19.5" customHeight="1">
      <c r="A76" s="499" t="s">
        <v>528</v>
      </c>
      <c r="B76" s="500">
        <v>396782</v>
      </c>
      <c r="C76" s="500">
        <v>480919</v>
      </c>
      <c r="D76" s="500">
        <v>578201</v>
      </c>
      <c r="E76" s="500">
        <v>490447</v>
      </c>
      <c r="F76" s="500">
        <v>553975</v>
      </c>
      <c r="G76" s="500">
        <v>531907</v>
      </c>
      <c r="H76" s="500">
        <v>534052</v>
      </c>
      <c r="I76" s="500">
        <v>514062</v>
      </c>
      <c r="J76" s="500">
        <v>480103</v>
      </c>
      <c r="K76" s="500">
        <v>636732</v>
      </c>
      <c r="L76" s="500">
        <v>598952</v>
      </c>
      <c r="M76" s="500">
        <v>690808</v>
      </c>
      <c r="N76" s="501">
        <v>601</v>
      </c>
      <c r="O76" s="494">
        <v>589</v>
      </c>
      <c r="P76" s="502">
        <v>604</v>
      </c>
      <c r="Q76" s="502">
        <v>602</v>
      </c>
      <c r="R76" s="502">
        <v>595</v>
      </c>
      <c r="S76" s="502">
        <v>549</v>
      </c>
      <c r="T76" s="536">
        <v>476</v>
      </c>
      <c r="U76" s="536">
        <f>SUM(U74:U75)</f>
        <v>580</v>
      </c>
      <c r="V76" s="536">
        <v>604.626</v>
      </c>
      <c r="X76" s="502"/>
      <c r="Y76" s="502"/>
    </row>
    <row r="77" spans="1:21" ht="19.5" customHeight="1">
      <c r="A77" s="492" t="s">
        <v>155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1"/>
      <c r="P77" s="502"/>
      <c r="Q77" s="502"/>
      <c r="R77" s="502"/>
      <c r="S77" s="502"/>
      <c r="T77" s="536"/>
      <c r="U77" s="536"/>
    </row>
    <row r="78" spans="1:22" ht="19.5" customHeight="1">
      <c r="A78" s="499" t="s">
        <v>377</v>
      </c>
      <c r="B78" s="500">
        <v>18185563</v>
      </c>
      <c r="C78" s="500">
        <v>14927923</v>
      </c>
      <c r="D78" s="500">
        <v>14042792</v>
      </c>
      <c r="E78" s="500">
        <v>15415411</v>
      </c>
      <c r="F78" s="500">
        <v>15205942</v>
      </c>
      <c r="G78" s="500">
        <v>16250935</v>
      </c>
      <c r="H78" s="500">
        <v>16440220</v>
      </c>
      <c r="I78" s="500">
        <v>23115371</v>
      </c>
      <c r="J78" s="500">
        <v>26116947</v>
      </c>
      <c r="K78" s="500">
        <v>30532897</v>
      </c>
      <c r="L78" s="500">
        <v>33741215</v>
      </c>
      <c r="M78" s="500">
        <v>32716999</v>
      </c>
      <c r="N78" s="501">
        <v>30056</v>
      </c>
      <c r="O78" s="502">
        <v>33394</v>
      </c>
      <c r="P78" s="502">
        <v>35915</v>
      </c>
      <c r="Q78" s="502">
        <v>34835</v>
      </c>
      <c r="R78" s="502">
        <v>31067</v>
      </c>
      <c r="S78" s="502">
        <v>28147</v>
      </c>
      <c r="T78" s="555">
        <f aca="true" t="shared" si="0" ref="T78:U80">T6+T10+T14+T18+T22+T26+T30+T34+T38+T42+T46+T50+T54+T58+T62+T66+T70+T74</f>
        <v>23272</v>
      </c>
      <c r="U78" s="555">
        <f t="shared" si="0"/>
        <v>24444</v>
      </c>
      <c r="V78" s="555">
        <f>V6+V10+V14+V18+V22+V26+V30+V34+V38+V42+V46+V50+V54+V58+V62+V66+V70+V74</f>
        <v>24276.632</v>
      </c>
    </row>
    <row r="79" spans="1:22" ht="19.5" customHeight="1">
      <c r="A79" s="499" t="s">
        <v>529</v>
      </c>
      <c r="B79" s="500">
        <v>77879918</v>
      </c>
      <c r="C79" s="500">
        <v>83658576</v>
      </c>
      <c r="D79" s="500">
        <v>87169048</v>
      </c>
      <c r="E79" s="500">
        <v>108390185</v>
      </c>
      <c r="F79" s="500">
        <v>111641235</v>
      </c>
      <c r="G79" s="500">
        <v>109002708</v>
      </c>
      <c r="H79" s="500">
        <v>98628765</v>
      </c>
      <c r="I79" s="500">
        <v>101598050</v>
      </c>
      <c r="J79" s="500">
        <v>103982926</v>
      </c>
      <c r="K79" s="500">
        <v>99978934</v>
      </c>
      <c r="L79" s="500">
        <v>90078952</v>
      </c>
      <c r="M79" s="500">
        <v>89438527</v>
      </c>
      <c r="N79" s="501">
        <v>80479</v>
      </c>
      <c r="O79" s="502">
        <v>77050</v>
      </c>
      <c r="P79" s="502">
        <v>72975</v>
      </c>
      <c r="Q79" s="502">
        <v>66752</v>
      </c>
      <c r="R79" s="502">
        <v>70885</v>
      </c>
      <c r="S79" s="502">
        <v>68198</v>
      </c>
      <c r="T79" s="555">
        <f t="shared" si="0"/>
        <v>62277</v>
      </c>
      <c r="U79" s="555">
        <f t="shared" si="0"/>
        <v>60374</v>
      </c>
      <c r="V79" s="555">
        <f>V7+V11+V15+V19+V23+V27+V31+V35+V39+V43+V47+V51+V55+V59+V63+V67+V71+V75</f>
        <v>53135.126</v>
      </c>
    </row>
    <row r="80" spans="1:22" ht="19.5" customHeight="1">
      <c r="A80" s="499" t="s">
        <v>528</v>
      </c>
      <c r="B80" s="500">
        <v>96065480</v>
      </c>
      <c r="C80" s="500">
        <v>98586503</v>
      </c>
      <c r="D80" s="500">
        <v>101211842</v>
      </c>
      <c r="E80" s="500">
        <v>123805591</v>
      </c>
      <c r="F80" s="500">
        <v>126847178</v>
      </c>
      <c r="G80" s="500">
        <v>125253644</v>
      </c>
      <c r="H80" s="500">
        <v>115068983</v>
      </c>
      <c r="I80" s="500">
        <v>124713417</v>
      </c>
      <c r="J80" s="500">
        <v>130099871</v>
      </c>
      <c r="K80" s="500">
        <v>130511831</v>
      </c>
      <c r="L80" s="500">
        <v>123820167</v>
      </c>
      <c r="M80" s="500">
        <v>122155526</v>
      </c>
      <c r="N80" s="501">
        <v>110535</v>
      </c>
      <c r="O80" s="502">
        <v>110444</v>
      </c>
      <c r="P80" s="502">
        <v>108890</v>
      </c>
      <c r="Q80" s="502">
        <v>101587</v>
      </c>
      <c r="R80" s="502">
        <v>101952</v>
      </c>
      <c r="S80" s="502">
        <v>96345</v>
      </c>
      <c r="T80" s="555">
        <f t="shared" si="0"/>
        <v>85547</v>
      </c>
      <c r="U80" s="555">
        <f t="shared" si="0"/>
        <v>84817</v>
      </c>
      <c r="V80" s="555">
        <f>V8+V12+V16+V20+V24+V28+V32+V36+V40+V44+V48+V52+V56+V60+V64+V68+V72+V76</f>
        <v>77413.758</v>
      </c>
    </row>
    <row r="81" spans="1:22" ht="9" customHeight="1">
      <c r="A81" s="504"/>
      <c r="B81" s="504"/>
      <c r="C81" s="504"/>
      <c r="D81" s="504"/>
      <c r="E81" s="504"/>
      <c r="F81" s="504"/>
      <c r="G81" s="504"/>
      <c r="H81" s="504"/>
      <c r="I81" s="504"/>
      <c r="J81" s="504"/>
      <c r="K81" s="504"/>
      <c r="L81" s="504"/>
      <c r="M81" s="504"/>
      <c r="N81" s="504"/>
      <c r="O81" s="504"/>
      <c r="P81" s="504"/>
      <c r="Q81" s="504"/>
      <c r="R81" s="504"/>
      <c r="S81" s="504"/>
      <c r="T81" s="505"/>
      <c r="U81" s="505"/>
      <c r="V81" s="505"/>
    </row>
    <row r="82" spans="1:20" ht="8.25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1:21" ht="18.75">
      <c r="A83" s="44" t="s">
        <v>416</v>
      </c>
      <c r="B83" s="44"/>
      <c r="C83" s="44"/>
      <c r="D83" s="44"/>
      <c r="E83" s="44"/>
      <c r="F83" s="44"/>
      <c r="G83" s="44"/>
      <c r="H83" s="44"/>
      <c r="I83" s="44"/>
      <c r="J83" s="44"/>
      <c r="U83" s="506"/>
    </row>
    <row r="84" spans="1:10" ht="18">
      <c r="A84" s="44" t="s">
        <v>417</v>
      </c>
      <c r="B84" s="44"/>
      <c r="C84" s="44"/>
      <c r="D84" s="44"/>
      <c r="E84" s="44"/>
      <c r="F84" s="44"/>
      <c r="G84" s="44"/>
      <c r="H84" s="44"/>
      <c r="I84" s="44"/>
      <c r="J84" s="44"/>
    </row>
    <row r="88" spans="11:12" ht="18">
      <c r="K88" s="502" t="s">
        <v>292</v>
      </c>
      <c r="L88" s="502" t="s">
        <v>292</v>
      </c>
    </row>
    <row r="89" spans="11:12" ht="18">
      <c r="K89" s="502" t="s">
        <v>292</v>
      </c>
      <c r="L89" s="502" t="s">
        <v>292</v>
      </c>
    </row>
    <row r="90" ht="18">
      <c r="K90" s="502" t="s">
        <v>292</v>
      </c>
    </row>
    <row r="93" ht="18">
      <c r="K93" s="507" t="s">
        <v>292</v>
      </c>
    </row>
    <row r="94" ht="18">
      <c r="K94" s="507" t="s">
        <v>292</v>
      </c>
    </row>
    <row r="95" ht="18">
      <c r="K95" s="507" t="s">
        <v>292</v>
      </c>
    </row>
  </sheetData>
  <sheetProtection/>
  <printOptions/>
  <pageMargins left="0.7480314960629921" right="0.1968503937007874" top="0.5905511811023623" bottom="0.31496062992125984" header="0.5118110236220472" footer="0.5118110236220472"/>
  <pageSetup fitToHeight="1" fitToWidth="1" horizontalDpi="96" verticalDpi="96" orientation="portrait" paperSize="9" scale="49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85" zoomScaleNormal="85" zoomScalePageLayoutView="0" workbookViewId="0" topLeftCell="A1">
      <selection activeCell="A1" sqref="A1"/>
    </sheetView>
  </sheetViews>
  <sheetFormatPr defaultColWidth="9.421875" defaultRowHeight="12.75"/>
  <cols>
    <col min="1" max="1" width="22.7109375" style="25" customWidth="1"/>
    <col min="2" max="9" width="9.7109375" style="25" hidden="1" customWidth="1"/>
    <col min="10" max="10" width="11.57421875" style="25" hidden="1" customWidth="1"/>
    <col min="11" max="11" width="10.7109375" style="25" hidden="1" customWidth="1"/>
    <col min="12" max="17" width="10.7109375" style="25" customWidth="1"/>
    <col min="18" max="20" width="10.7109375" style="75" customWidth="1"/>
    <col min="21" max="21" width="10.7109375" style="25" customWidth="1"/>
    <col min="22" max="16384" width="9.421875" style="25" customWidth="1"/>
  </cols>
  <sheetData>
    <row r="1" spans="1:21" ht="18" customHeight="1">
      <c r="A1" s="532" t="s">
        <v>60</v>
      </c>
      <c r="B1" s="532"/>
      <c r="C1" s="532"/>
      <c r="D1" s="532"/>
      <c r="E1" s="532"/>
      <c r="F1" s="532"/>
      <c r="G1" s="532"/>
      <c r="H1" s="532"/>
      <c r="I1" s="532"/>
      <c r="J1" s="532"/>
      <c r="K1" s="64"/>
      <c r="L1" s="44"/>
      <c r="M1" s="44"/>
      <c r="N1" s="44"/>
      <c r="O1" s="44"/>
      <c r="U1" s="272"/>
    </row>
    <row r="2" spans="1:15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44"/>
      <c r="M2" s="44"/>
      <c r="N2" s="44"/>
      <c r="O2" s="44"/>
    </row>
    <row r="3" spans="1:22" ht="15.75">
      <c r="A3" s="255" t="s">
        <v>142</v>
      </c>
      <c r="B3" s="256">
        <v>1991</v>
      </c>
      <c r="C3" s="255">
        <v>1992</v>
      </c>
      <c r="D3" s="256">
        <v>1993</v>
      </c>
      <c r="E3" s="255">
        <v>1994</v>
      </c>
      <c r="F3" s="256">
        <v>1995</v>
      </c>
      <c r="G3" s="255">
        <v>1996</v>
      </c>
      <c r="H3" s="256">
        <v>1997</v>
      </c>
      <c r="I3" s="255">
        <v>1998</v>
      </c>
      <c r="J3" s="256">
        <v>1999</v>
      </c>
      <c r="K3" s="255">
        <v>2000</v>
      </c>
      <c r="L3" s="256">
        <v>2001</v>
      </c>
      <c r="M3" s="256">
        <v>2002</v>
      </c>
      <c r="N3" s="256">
        <v>2003</v>
      </c>
      <c r="O3" s="256">
        <v>2004</v>
      </c>
      <c r="P3" s="256">
        <v>2005</v>
      </c>
      <c r="Q3" s="256">
        <v>2006</v>
      </c>
      <c r="R3" s="256">
        <v>2007</v>
      </c>
      <c r="S3" s="256">
        <v>2008</v>
      </c>
      <c r="T3" s="256">
        <v>2009</v>
      </c>
      <c r="U3" s="256">
        <v>2010</v>
      </c>
      <c r="V3" s="256">
        <v>2011</v>
      </c>
    </row>
    <row r="4" spans="1:20" ht="8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6"/>
      <c r="N4" s="75"/>
      <c r="O4" s="75"/>
      <c r="P4" s="75"/>
      <c r="R4" s="25"/>
      <c r="S4" s="25"/>
      <c r="T4" s="25"/>
    </row>
    <row r="5" spans="1:22" ht="15.75">
      <c r="A5" s="248" t="s">
        <v>270</v>
      </c>
      <c r="B5" s="248"/>
      <c r="C5" s="248"/>
      <c r="D5" s="248"/>
      <c r="E5" s="248"/>
      <c r="F5" s="248"/>
      <c r="G5" s="248"/>
      <c r="H5" s="248"/>
      <c r="I5" s="248"/>
      <c r="J5" s="248"/>
      <c r="M5" s="112"/>
      <c r="N5" s="112"/>
      <c r="O5" s="112"/>
      <c r="P5" s="75"/>
      <c r="Q5" s="75"/>
      <c r="R5" s="112"/>
      <c r="S5" s="271"/>
      <c r="T5" s="271"/>
      <c r="U5" s="271"/>
      <c r="V5" s="271" t="s">
        <v>133</v>
      </c>
    </row>
    <row r="6" spans="1:22" ht="15">
      <c r="A6" s="44" t="s">
        <v>144</v>
      </c>
      <c r="B6" s="55" t="s">
        <v>152</v>
      </c>
      <c r="C6" s="55" t="s">
        <v>152</v>
      </c>
      <c r="D6" s="55" t="s">
        <v>152</v>
      </c>
      <c r="E6" s="55" t="s">
        <v>152</v>
      </c>
      <c r="F6" s="54" t="s">
        <v>189</v>
      </c>
      <c r="G6" s="54" t="s">
        <v>189</v>
      </c>
      <c r="H6" s="54" t="s">
        <v>189</v>
      </c>
      <c r="I6" s="54" t="s">
        <v>189</v>
      </c>
      <c r="J6" s="54" t="s">
        <v>189</v>
      </c>
      <c r="K6" s="55" t="s">
        <v>152</v>
      </c>
      <c r="L6" s="55" t="s">
        <v>152</v>
      </c>
      <c r="M6" s="54" t="s">
        <v>152</v>
      </c>
      <c r="N6" s="55" t="s">
        <v>152</v>
      </c>
      <c r="O6" s="55" t="s">
        <v>152</v>
      </c>
      <c r="P6" s="55" t="s">
        <v>152</v>
      </c>
      <c r="Q6" s="55" t="s">
        <v>152</v>
      </c>
      <c r="R6" s="55" t="s">
        <v>152</v>
      </c>
      <c r="S6" s="55" t="s">
        <v>152</v>
      </c>
      <c r="T6" s="55" t="s">
        <v>152</v>
      </c>
      <c r="U6" s="55" t="s">
        <v>152</v>
      </c>
      <c r="V6" s="55" t="s">
        <v>152</v>
      </c>
    </row>
    <row r="7" spans="1:22" ht="15">
      <c r="A7" s="44" t="s">
        <v>566</v>
      </c>
      <c r="B7" s="49">
        <v>1751</v>
      </c>
      <c r="C7" s="49">
        <v>1591</v>
      </c>
      <c r="D7" s="49">
        <v>1717</v>
      </c>
      <c r="E7" s="49">
        <v>1813</v>
      </c>
      <c r="F7" s="54" t="s">
        <v>189</v>
      </c>
      <c r="G7" s="54" t="s">
        <v>189</v>
      </c>
      <c r="H7" s="54" t="s">
        <v>189</v>
      </c>
      <c r="I7" s="54" t="s">
        <v>189</v>
      </c>
      <c r="J7" s="54" t="s">
        <v>189</v>
      </c>
      <c r="K7" s="49">
        <v>1506</v>
      </c>
      <c r="L7" s="49">
        <v>1404</v>
      </c>
      <c r="M7" s="49">
        <v>1273</v>
      </c>
      <c r="N7" s="49">
        <v>1274</v>
      </c>
      <c r="O7" s="26">
        <v>1277</v>
      </c>
      <c r="P7" s="28">
        <v>1165</v>
      </c>
      <c r="Q7" s="28">
        <v>1222</v>
      </c>
      <c r="R7" s="28">
        <v>1231</v>
      </c>
      <c r="S7" s="28">
        <v>1190</v>
      </c>
      <c r="T7" s="28">
        <v>1177</v>
      </c>
      <c r="U7" s="28">
        <v>1017</v>
      </c>
      <c r="V7" s="28">
        <v>986</v>
      </c>
    </row>
    <row r="8" spans="1:22" ht="15.75">
      <c r="A8" s="248" t="s">
        <v>260</v>
      </c>
      <c r="B8" s="54"/>
      <c r="C8" s="54"/>
      <c r="D8" s="54"/>
      <c r="E8" s="54"/>
      <c r="F8" s="54"/>
      <c r="G8" s="54"/>
      <c r="H8" s="54"/>
      <c r="I8" s="49"/>
      <c r="J8" s="49"/>
      <c r="K8" s="49"/>
      <c r="L8" s="49"/>
      <c r="M8" s="49"/>
      <c r="N8" s="49"/>
      <c r="P8" s="28"/>
      <c r="Q8" s="28"/>
      <c r="R8" s="28" t="s">
        <v>292</v>
      </c>
      <c r="S8" s="28" t="s">
        <v>292</v>
      </c>
      <c r="T8" s="28" t="s">
        <v>292</v>
      </c>
      <c r="U8" s="28"/>
      <c r="V8" s="28"/>
    </row>
    <row r="9" spans="1:22" ht="15">
      <c r="A9" s="44" t="s">
        <v>144</v>
      </c>
      <c r="B9" s="55" t="s">
        <v>152</v>
      </c>
      <c r="C9" s="55" t="s">
        <v>152</v>
      </c>
      <c r="D9" s="55" t="s">
        <v>152</v>
      </c>
      <c r="E9" s="55" t="s">
        <v>152</v>
      </c>
      <c r="F9" s="55" t="s">
        <v>152</v>
      </c>
      <c r="G9" s="55" t="s">
        <v>152</v>
      </c>
      <c r="H9" s="55" t="s">
        <v>152</v>
      </c>
      <c r="I9" s="55" t="s">
        <v>152</v>
      </c>
      <c r="J9" s="55" t="s">
        <v>152</v>
      </c>
      <c r="K9" s="55" t="s">
        <v>152</v>
      </c>
      <c r="L9" s="55" t="s">
        <v>152</v>
      </c>
      <c r="M9" s="54" t="s">
        <v>152</v>
      </c>
      <c r="N9" s="55" t="s">
        <v>152</v>
      </c>
      <c r="O9" s="55" t="s">
        <v>152</v>
      </c>
      <c r="P9" s="55" t="s">
        <v>152</v>
      </c>
      <c r="Q9" s="55" t="s">
        <v>152</v>
      </c>
      <c r="R9" s="55" t="s">
        <v>152</v>
      </c>
      <c r="S9" s="55" t="s">
        <v>152</v>
      </c>
      <c r="T9" s="55" t="s">
        <v>152</v>
      </c>
      <c r="U9" s="55" t="s">
        <v>152</v>
      </c>
      <c r="V9" s="55" t="s">
        <v>152</v>
      </c>
    </row>
    <row r="10" spans="1:22" ht="15">
      <c r="A10" s="44" t="s">
        <v>566</v>
      </c>
      <c r="B10" s="49">
        <v>949</v>
      </c>
      <c r="C10" s="49">
        <v>1073</v>
      </c>
      <c r="D10" s="49">
        <v>1234</v>
      </c>
      <c r="E10" s="49">
        <v>1233</v>
      </c>
      <c r="F10" s="49">
        <v>1991</v>
      </c>
      <c r="G10" s="49">
        <v>2025</v>
      </c>
      <c r="H10" s="49">
        <v>2227</v>
      </c>
      <c r="I10" s="49">
        <v>2504</v>
      </c>
      <c r="J10" s="49">
        <v>2437</v>
      </c>
      <c r="K10" s="49">
        <v>2283</v>
      </c>
      <c r="L10" s="49">
        <v>2014</v>
      </c>
      <c r="M10" s="49">
        <v>2099</v>
      </c>
      <c r="N10" s="49">
        <v>2328</v>
      </c>
      <c r="O10" s="26">
        <v>2849</v>
      </c>
      <c r="P10" s="28">
        <v>3274</v>
      </c>
      <c r="Q10" s="28">
        <v>3145</v>
      </c>
      <c r="R10" s="28">
        <v>3163</v>
      </c>
      <c r="S10" s="28">
        <v>2928</v>
      </c>
      <c r="T10" s="28">
        <v>2572</v>
      </c>
      <c r="U10" s="28">
        <v>2634</v>
      </c>
      <c r="V10" s="28">
        <v>2932</v>
      </c>
    </row>
    <row r="11" spans="1:22" ht="15.75">
      <c r="A11" s="248" t="s">
        <v>269</v>
      </c>
      <c r="B11" s="49"/>
      <c r="C11" s="49"/>
      <c r="D11" s="49"/>
      <c r="E11" s="49"/>
      <c r="F11" s="592"/>
      <c r="G11" s="49"/>
      <c r="H11" s="49"/>
      <c r="I11" s="112"/>
      <c r="J11" s="112"/>
      <c r="K11" s="112"/>
      <c r="L11" s="49"/>
      <c r="M11" s="49"/>
      <c r="N11" s="49"/>
      <c r="O11" s="49"/>
      <c r="Q11" s="28"/>
      <c r="R11" s="28"/>
      <c r="S11" s="28"/>
      <c r="T11" s="28"/>
      <c r="U11" s="28"/>
      <c r="V11" s="28"/>
    </row>
    <row r="12" spans="1:22" ht="15">
      <c r="A12" s="44" t="s">
        <v>144</v>
      </c>
      <c r="B12" s="49">
        <v>1088</v>
      </c>
      <c r="C12" s="49">
        <v>578</v>
      </c>
      <c r="D12" s="49">
        <v>303</v>
      </c>
      <c r="E12" s="49">
        <v>311</v>
      </c>
      <c r="F12" s="54" t="s">
        <v>189</v>
      </c>
      <c r="G12" s="54" t="s">
        <v>189</v>
      </c>
      <c r="H12" s="54" t="s">
        <v>189</v>
      </c>
      <c r="I12" s="54" t="s">
        <v>189</v>
      </c>
      <c r="J12" s="54" t="s">
        <v>189</v>
      </c>
      <c r="K12" s="54" t="s">
        <v>189</v>
      </c>
      <c r="L12" s="54" t="s">
        <v>189</v>
      </c>
      <c r="M12" s="54" t="s">
        <v>189</v>
      </c>
      <c r="N12" s="54" t="s">
        <v>189</v>
      </c>
      <c r="O12" s="54" t="s">
        <v>189</v>
      </c>
      <c r="P12" s="54" t="s">
        <v>189</v>
      </c>
      <c r="Q12" s="54" t="s">
        <v>189</v>
      </c>
      <c r="R12" s="54" t="s">
        <v>189</v>
      </c>
      <c r="S12" s="54" t="s">
        <v>189</v>
      </c>
      <c r="T12" s="54" t="s">
        <v>189</v>
      </c>
      <c r="U12" s="54" t="s">
        <v>189</v>
      </c>
      <c r="V12" s="54" t="s">
        <v>189</v>
      </c>
    </row>
    <row r="13" spans="1:22" ht="15">
      <c r="A13" s="44" t="s">
        <v>566</v>
      </c>
      <c r="B13" s="49">
        <v>113</v>
      </c>
      <c r="C13" s="49">
        <v>115</v>
      </c>
      <c r="D13" s="49">
        <v>164</v>
      </c>
      <c r="E13" s="49">
        <v>177</v>
      </c>
      <c r="F13" s="54" t="s">
        <v>189</v>
      </c>
      <c r="G13" s="54" t="s">
        <v>189</v>
      </c>
      <c r="H13" s="54" t="s">
        <v>189</v>
      </c>
      <c r="I13" s="54" t="s">
        <v>189</v>
      </c>
      <c r="J13" s="54" t="s">
        <v>189</v>
      </c>
      <c r="K13" s="54" t="s">
        <v>189</v>
      </c>
      <c r="L13" s="54" t="s">
        <v>189</v>
      </c>
      <c r="M13" s="54" t="s">
        <v>189</v>
      </c>
      <c r="N13" s="54" t="s">
        <v>189</v>
      </c>
      <c r="O13" s="54" t="s">
        <v>189</v>
      </c>
      <c r="P13" s="54" t="s">
        <v>189</v>
      </c>
      <c r="Q13" s="54" t="s">
        <v>189</v>
      </c>
      <c r="R13" s="54" t="s">
        <v>189</v>
      </c>
      <c r="S13" s="54" t="s">
        <v>189</v>
      </c>
      <c r="T13" s="54" t="s">
        <v>189</v>
      </c>
      <c r="U13" s="54" t="s">
        <v>189</v>
      </c>
      <c r="V13" s="54" t="s">
        <v>189</v>
      </c>
    </row>
    <row r="14" spans="1:22" ht="15.75">
      <c r="A14" s="248" t="s">
        <v>143</v>
      </c>
      <c r="B14" s="111"/>
      <c r="C14" s="111"/>
      <c r="D14" s="111"/>
      <c r="E14" s="111"/>
      <c r="F14" s="111"/>
      <c r="G14" s="111"/>
      <c r="H14" s="111"/>
      <c r="I14" s="49"/>
      <c r="J14" s="49"/>
      <c r="K14" s="49"/>
      <c r="L14" s="49"/>
      <c r="M14" s="49"/>
      <c r="N14" s="49"/>
      <c r="O14" s="49"/>
      <c r="Q14" s="28"/>
      <c r="R14" s="28"/>
      <c r="S14" s="28"/>
      <c r="T14" s="28"/>
      <c r="U14" s="28"/>
      <c r="V14" s="28"/>
    </row>
    <row r="15" spans="1:22" ht="15">
      <c r="A15" s="44" t="s">
        <v>144</v>
      </c>
      <c r="B15" s="49">
        <v>3133</v>
      </c>
      <c r="C15" s="49">
        <v>2648</v>
      </c>
      <c r="D15" s="49">
        <v>1449</v>
      </c>
      <c r="E15" s="49">
        <v>3417</v>
      </c>
      <c r="F15" s="55">
        <v>4185</v>
      </c>
      <c r="G15" s="55">
        <v>3785</v>
      </c>
      <c r="H15" s="49">
        <v>4213</v>
      </c>
      <c r="I15" s="49">
        <v>6522</v>
      </c>
      <c r="J15" s="49">
        <v>6965</v>
      </c>
      <c r="K15" s="49">
        <v>5391</v>
      </c>
      <c r="L15" s="49">
        <v>9311</v>
      </c>
      <c r="M15" s="49">
        <v>8077</v>
      </c>
      <c r="N15" s="49">
        <v>7417</v>
      </c>
      <c r="O15" s="26">
        <v>9507</v>
      </c>
      <c r="P15" s="28">
        <v>13785</v>
      </c>
      <c r="Q15" s="28">
        <v>13106</v>
      </c>
      <c r="R15" s="28">
        <v>9825</v>
      </c>
      <c r="S15" s="28">
        <v>12197</v>
      </c>
      <c r="T15" s="28">
        <v>10672</v>
      </c>
      <c r="U15" s="28">
        <v>10209</v>
      </c>
      <c r="V15" s="28">
        <v>5124</v>
      </c>
    </row>
    <row r="16" spans="1:22" ht="15">
      <c r="A16" s="44" t="s">
        <v>566</v>
      </c>
      <c r="B16" s="49">
        <v>5058</v>
      </c>
      <c r="C16" s="49">
        <v>3545</v>
      </c>
      <c r="D16" s="49">
        <v>3077</v>
      </c>
      <c r="E16" s="49">
        <v>3364</v>
      </c>
      <c r="F16" s="55">
        <v>3389</v>
      </c>
      <c r="G16" s="55">
        <v>3416</v>
      </c>
      <c r="H16" s="49">
        <v>3280</v>
      </c>
      <c r="I16" s="49">
        <v>1606</v>
      </c>
      <c r="J16" s="49">
        <v>1530</v>
      </c>
      <c r="K16" s="49">
        <v>1833</v>
      </c>
      <c r="L16" s="49">
        <v>1758</v>
      </c>
      <c r="M16" s="49">
        <v>1656</v>
      </c>
      <c r="N16" s="49">
        <v>1797</v>
      </c>
      <c r="O16" s="49">
        <v>2000</v>
      </c>
      <c r="P16" s="28">
        <v>1952</v>
      </c>
      <c r="Q16" s="28">
        <v>1875</v>
      </c>
      <c r="R16" s="28">
        <v>2238</v>
      </c>
      <c r="S16" s="28">
        <v>2141</v>
      </c>
      <c r="T16" s="28">
        <v>1880</v>
      </c>
      <c r="U16" s="28">
        <v>2074</v>
      </c>
      <c r="V16" s="28">
        <v>8307</v>
      </c>
    </row>
    <row r="17" spans="1:22" ht="15.75">
      <c r="A17" s="248" t="s">
        <v>151</v>
      </c>
      <c r="B17" s="111"/>
      <c r="C17" s="111"/>
      <c r="D17" s="111"/>
      <c r="E17" s="111"/>
      <c r="F17" s="111"/>
      <c r="G17" s="111"/>
      <c r="H17" s="111"/>
      <c r="I17" s="49"/>
      <c r="J17" s="49"/>
      <c r="K17" s="49"/>
      <c r="L17" s="49"/>
      <c r="M17" s="49"/>
      <c r="N17" s="49"/>
      <c r="O17" s="75"/>
      <c r="P17" s="28"/>
      <c r="Q17" s="28"/>
      <c r="R17" s="28" t="s">
        <v>292</v>
      </c>
      <c r="S17" s="28"/>
      <c r="T17" s="28"/>
      <c r="U17" s="28"/>
      <c r="V17" s="28"/>
    </row>
    <row r="18" spans="1:22" ht="15">
      <c r="A18" s="44" t="s">
        <v>144</v>
      </c>
      <c r="B18" s="55" t="s">
        <v>152</v>
      </c>
      <c r="C18" s="55" t="s">
        <v>152</v>
      </c>
      <c r="D18" s="55" t="s">
        <v>152</v>
      </c>
      <c r="E18" s="55" t="s">
        <v>152</v>
      </c>
      <c r="F18" s="55" t="s">
        <v>152</v>
      </c>
      <c r="G18" s="55" t="s">
        <v>152</v>
      </c>
      <c r="H18" s="55" t="s">
        <v>152</v>
      </c>
      <c r="I18" s="55" t="s">
        <v>152</v>
      </c>
      <c r="J18" s="55" t="s">
        <v>152</v>
      </c>
      <c r="K18" s="55" t="s">
        <v>152</v>
      </c>
      <c r="L18" s="55">
        <v>1</v>
      </c>
      <c r="M18" s="55">
        <v>4</v>
      </c>
      <c r="N18" s="55">
        <v>3</v>
      </c>
      <c r="O18" s="55">
        <v>1</v>
      </c>
      <c r="P18" s="55" t="s">
        <v>152</v>
      </c>
      <c r="Q18" s="55" t="s">
        <v>152</v>
      </c>
      <c r="R18" s="55" t="s">
        <v>152</v>
      </c>
      <c r="S18" s="55" t="s">
        <v>152</v>
      </c>
      <c r="T18" s="55" t="s">
        <v>152</v>
      </c>
      <c r="U18" s="55" t="s">
        <v>152</v>
      </c>
      <c r="V18" s="55" t="s">
        <v>152</v>
      </c>
    </row>
    <row r="19" spans="1:22" ht="15">
      <c r="A19" s="44" t="s">
        <v>566</v>
      </c>
      <c r="B19" s="49">
        <v>4399</v>
      </c>
      <c r="C19" s="49">
        <v>4736</v>
      </c>
      <c r="D19" s="49">
        <v>4855</v>
      </c>
      <c r="E19" s="49">
        <v>4693</v>
      </c>
      <c r="F19" s="55">
        <v>4859</v>
      </c>
      <c r="G19" s="55">
        <v>4486</v>
      </c>
      <c r="H19" s="49">
        <v>4401</v>
      </c>
      <c r="I19" s="49">
        <v>5140</v>
      </c>
      <c r="J19" s="49">
        <v>5217</v>
      </c>
      <c r="K19" s="49">
        <v>5899</v>
      </c>
      <c r="L19" s="49">
        <v>5470</v>
      </c>
      <c r="M19" s="49">
        <v>5842</v>
      </c>
      <c r="N19" s="49">
        <v>5319</v>
      </c>
      <c r="O19" s="28">
        <v>5188</v>
      </c>
      <c r="P19" s="28">
        <v>5439</v>
      </c>
      <c r="Q19" s="28">
        <v>6004</v>
      </c>
      <c r="R19" s="28">
        <v>7050</v>
      </c>
      <c r="S19" s="28">
        <v>6336</v>
      </c>
      <c r="T19" s="28">
        <v>5591</v>
      </c>
      <c r="U19" s="28">
        <v>5846</v>
      </c>
      <c r="V19" s="28">
        <v>6060</v>
      </c>
    </row>
    <row r="20" spans="1:22" ht="18.75">
      <c r="A20" s="248" t="s">
        <v>73</v>
      </c>
      <c r="B20" s="111"/>
      <c r="C20" s="111"/>
      <c r="D20" s="111"/>
      <c r="E20" s="111"/>
      <c r="F20" s="111"/>
      <c r="G20" s="111"/>
      <c r="H20" s="111"/>
      <c r="I20" s="49"/>
      <c r="J20" s="49"/>
      <c r="K20" s="49"/>
      <c r="L20" s="49"/>
      <c r="M20" s="49"/>
      <c r="N20" s="49"/>
      <c r="O20" s="49"/>
      <c r="P20" s="75"/>
      <c r="Q20" s="28"/>
      <c r="R20" s="28"/>
      <c r="S20" s="28"/>
      <c r="T20" s="28"/>
      <c r="U20" s="28"/>
      <c r="V20" s="28"/>
    </row>
    <row r="21" spans="1:22" ht="15">
      <c r="A21" s="44" t="s">
        <v>144</v>
      </c>
      <c r="B21" s="49">
        <v>45</v>
      </c>
      <c r="C21" s="49">
        <v>37</v>
      </c>
      <c r="D21" s="49">
        <v>42</v>
      </c>
      <c r="E21" s="49">
        <v>38</v>
      </c>
      <c r="F21" s="54" t="s">
        <v>189</v>
      </c>
      <c r="G21" s="54" t="s">
        <v>189</v>
      </c>
      <c r="H21" s="54" t="s">
        <v>189</v>
      </c>
      <c r="I21" s="54" t="s">
        <v>189</v>
      </c>
      <c r="J21" s="54" t="s">
        <v>189</v>
      </c>
      <c r="K21" s="54" t="s">
        <v>189</v>
      </c>
      <c r="L21" s="54" t="s">
        <v>189</v>
      </c>
      <c r="M21" s="54" t="s">
        <v>189</v>
      </c>
      <c r="N21" s="54" t="s">
        <v>189</v>
      </c>
      <c r="O21" s="54" t="s">
        <v>189</v>
      </c>
      <c r="P21" s="54" t="s">
        <v>189</v>
      </c>
      <c r="Q21" s="54" t="s">
        <v>189</v>
      </c>
      <c r="R21" s="54" t="s">
        <v>189</v>
      </c>
      <c r="S21" s="54" t="s">
        <v>189</v>
      </c>
      <c r="T21" s="54" t="s">
        <v>189</v>
      </c>
      <c r="U21" s="54" t="s">
        <v>189</v>
      </c>
      <c r="V21" s="54" t="s">
        <v>189</v>
      </c>
    </row>
    <row r="22" spans="1:22" ht="15">
      <c r="A22" s="44" t="s">
        <v>566</v>
      </c>
      <c r="B22" s="49">
        <v>258</v>
      </c>
      <c r="C22" s="49">
        <v>250</v>
      </c>
      <c r="D22" s="49">
        <v>265</v>
      </c>
      <c r="E22" s="49">
        <v>285</v>
      </c>
      <c r="F22" s="54" t="s">
        <v>189</v>
      </c>
      <c r="G22" s="54" t="s">
        <v>189</v>
      </c>
      <c r="H22" s="54" t="s">
        <v>189</v>
      </c>
      <c r="I22" s="54" t="s">
        <v>189</v>
      </c>
      <c r="J22" s="54" t="s">
        <v>189</v>
      </c>
      <c r="K22" s="54" t="s">
        <v>189</v>
      </c>
      <c r="L22" s="54" t="s">
        <v>189</v>
      </c>
      <c r="M22" s="54" t="s">
        <v>189</v>
      </c>
      <c r="N22" s="54" t="s">
        <v>189</v>
      </c>
      <c r="O22" s="54" t="s">
        <v>189</v>
      </c>
      <c r="P22" s="54" t="s">
        <v>189</v>
      </c>
      <c r="Q22" s="54" t="s">
        <v>189</v>
      </c>
      <c r="R22" s="54" t="s">
        <v>189</v>
      </c>
      <c r="S22" s="54" t="s">
        <v>189</v>
      </c>
      <c r="T22" s="54" t="s">
        <v>189</v>
      </c>
      <c r="U22" s="54" t="s">
        <v>189</v>
      </c>
      <c r="V22" s="54" t="s">
        <v>189</v>
      </c>
    </row>
    <row r="23" spans="1:22" ht="15.75">
      <c r="A23" s="248" t="s">
        <v>147</v>
      </c>
      <c r="B23" s="111"/>
      <c r="C23" s="111"/>
      <c r="D23" s="111"/>
      <c r="E23" s="111"/>
      <c r="F23" s="111"/>
      <c r="G23" s="593"/>
      <c r="H23" s="594"/>
      <c r="I23" s="49"/>
      <c r="J23" s="49"/>
      <c r="K23" s="49"/>
      <c r="L23" s="49"/>
      <c r="M23" s="49"/>
      <c r="N23" s="49"/>
      <c r="O23" s="75"/>
      <c r="P23" s="28"/>
      <c r="Q23" s="55" t="s">
        <v>292</v>
      </c>
      <c r="R23" s="55" t="s">
        <v>292</v>
      </c>
      <c r="S23" s="55" t="s">
        <v>292</v>
      </c>
      <c r="T23" s="55" t="s">
        <v>292</v>
      </c>
      <c r="U23" s="55" t="s">
        <v>292</v>
      </c>
      <c r="V23" s="55"/>
    </row>
    <row r="24" spans="1:22" ht="15">
      <c r="A24" s="44" t="s">
        <v>144</v>
      </c>
      <c r="B24" s="49">
        <v>8991</v>
      </c>
      <c r="C24" s="49">
        <v>8329</v>
      </c>
      <c r="D24" s="49">
        <v>11668</v>
      </c>
      <c r="E24" s="49">
        <v>13891</v>
      </c>
      <c r="F24" s="55">
        <v>12687</v>
      </c>
      <c r="G24" s="55">
        <v>11245</v>
      </c>
      <c r="H24" s="49">
        <v>10248</v>
      </c>
      <c r="I24" s="49">
        <v>15971</v>
      </c>
      <c r="J24" s="49">
        <v>16795</v>
      </c>
      <c r="K24" s="49">
        <v>22622</v>
      </c>
      <c r="L24" s="49">
        <v>18218</v>
      </c>
      <c r="M24" s="49">
        <v>18591</v>
      </c>
      <c r="N24" s="49">
        <v>14304</v>
      </c>
      <c r="O24" s="28">
        <v>17779</v>
      </c>
      <c r="P24" s="28">
        <v>14379</v>
      </c>
      <c r="Q24" s="28">
        <v>11103</v>
      </c>
      <c r="R24" s="28">
        <v>10414</v>
      </c>
      <c r="S24" s="28">
        <v>4595</v>
      </c>
      <c r="T24" s="28">
        <v>3027</v>
      </c>
      <c r="U24" s="28">
        <v>2999</v>
      </c>
      <c r="V24" s="28">
        <v>2096</v>
      </c>
    </row>
    <row r="25" spans="1:22" ht="15">
      <c r="A25" s="44" t="s">
        <v>566</v>
      </c>
      <c r="B25" s="49">
        <v>173</v>
      </c>
      <c r="C25" s="49">
        <v>192</v>
      </c>
      <c r="D25" s="49">
        <v>184</v>
      </c>
      <c r="E25" s="49">
        <v>206</v>
      </c>
      <c r="F25" s="55">
        <v>192</v>
      </c>
      <c r="G25" s="55">
        <v>203</v>
      </c>
      <c r="H25" s="49">
        <v>235</v>
      </c>
      <c r="I25" s="49">
        <v>186</v>
      </c>
      <c r="J25" s="49">
        <v>203</v>
      </c>
      <c r="K25" s="49">
        <v>176</v>
      </c>
      <c r="L25" s="49">
        <v>189</v>
      </c>
      <c r="M25" s="49">
        <v>221</v>
      </c>
      <c r="N25" s="49">
        <v>118</v>
      </c>
      <c r="O25" s="49">
        <v>155</v>
      </c>
      <c r="P25" s="28">
        <v>155</v>
      </c>
      <c r="Q25" s="28">
        <v>146</v>
      </c>
      <c r="R25" s="28">
        <v>178</v>
      </c>
      <c r="S25" s="28">
        <v>194</v>
      </c>
      <c r="T25" s="28">
        <v>214</v>
      </c>
      <c r="U25" s="28">
        <v>245</v>
      </c>
      <c r="V25" s="28">
        <v>248</v>
      </c>
    </row>
    <row r="26" spans="1:22" ht="15.75">
      <c r="A26" s="248" t="s">
        <v>148</v>
      </c>
      <c r="B26" s="111"/>
      <c r="C26" s="111"/>
      <c r="D26" s="111"/>
      <c r="E26" s="111"/>
      <c r="F26" s="111"/>
      <c r="G26" s="111"/>
      <c r="H26" s="111"/>
      <c r="I26" s="49"/>
      <c r="J26" s="49"/>
      <c r="K26" s="49"/>
      <c r="L26" s="49"/>
      <c r="M26" s="49"/>
      <c r="N26" s="49"/>
      <c r="O26" s="49"/>
      <c r="P26" s="75"/>
      <c r="Q26" s="28"/>
      <c r="R26" s="28"/>
      <c r="S26" s="28"/>
      <c r="T26" s="28"/>
      <c r="U26" s="28"/>
      <c r="V26" s="28"/>
    </row>
    <row r="27" spans="1:22" ht="15">
      <c r="A27" s="44" t="s">
        <v>144</v>
      </c>
      <c r="B27" s="49">
        <v>285</v>
      </c>
      <c r="C27" s="49">
        <v>191</v>
      </c>
      <c r="D27" s="49">
        <v>204</v>
      </c>
      <c r="E27" s="49">
        <v>200</v>
      </c>
      <c r="F27" s="54" t="s">
        <v>189</v>
      </c>
      <c r="G27" s="54" t="s">
        <v>189</v>
      </c>
      <c r="H27" s="54" t="s">
        <v>189</v>
      </c>
      <c r="I27" s="54" t="s">
        <v>189</v>
      </c>
      <c r="J27" s="54" t="s">
        <v>189</v>
      </c>
      <c r="K27" s="54" t="s">
        <v>189</v>
      </c>
      <c r="L27" s="54" t="s">
        <v>189</v>
      </c>
      <c r="M27" s="54" t="s">
        <v>189</v>
      </c>
      <c r="N27" s="54" t="s">
        <v>189</v>
      </c>
      <c r="O27" s="54" t="s">
        <v>189</v>
      </c>
      <c r="P27" s="54" t="s">
        <v>189</v>
      </c>
      <c r="Q27" s="54" t="s">
        <v>189</v>
      </c>
      <c r="R27" s="54" t="s">
        <v>189</v>
      </c>
      <c r="S27" s="54" t="s">
        <v>189</v>
      </c>
      <c r="T27" s="54" t="s">
        <v>189</v>
      </c>
      <c r="U27" s="54" t="s">
        <v>189</v>
      </c>
      <c r="V27" s="54" t="s">
        <v>189</v>
      </c>
    </row>
    <row r="28" spans="1:22" ht="15">
      <c r="A28" s="44" t="s">
        <v>566</v>
      </c>
      <c r="B28" s="49">
        <v>444</v>
      </c>
      <c r="C28" s="49">
        <v>582</v>
      </c>
      <c r="D28" s="49">
        <v>705</v>
      </c>
      <c r="E28" s="49">
        <v>683</v>
      </c>
      <c r="F28" s="54" t="s">
        <v>189</v>
      </c>
      <c r="G28" s="54" t="s">
        <v>189</v>
      </c>
      <c r="H28" s="54" t="s">
        <v>189</v>
      </c>
      <c r="I28" s="54" t="s">
        <v>189</v>
      </c>
      <c r="J28" s="54" t="s">
        <v>189</v>
      </c>
      <c r="K28" s="54" t="s">
        <v>189</v>
      </c>
      <c r="L28" s="54" t="s">
        <v>189</v>
      </c>
      <c r="M28" s="54" t="s">
        <v>189</v>
      </c>
      <c r="N28" s="54" t="s">
        <v>189</v>
      </c>
      <c r="O28" s="54" t="s">
        <v>189</v>
      </c>
      <c r="P28" s="54" t="s">
        <v>189</v>
      </c>
      <c r="Q28" s="54" t="s">
        <v>189</v>
      </c>
      <c r="R28" s="54" t="s">
        <v>189</v>
      </c>
      <c r="S28" s="54" t="s">
        <v>189</v>
      </c>
      <c r="T28" s="54" t="s">
        <v>189</v>
      </c>
      <c r="U28" s="54" t="s">
        <v>189</v>
      </c>
      <c r="V28" s="54" t="s">
        <v>189</v>
      </c>
    </row>
    <row r="29" spans="1:22" ht="15.75">
      <c r="A29" s="248" t="s">
        <v>149</v>
      </c>
      <c r="B29" s="111"/>
      <c r="C29" s="111"/>
      <c r="D29" s="111"/>
      <c r="E29" s="111"/>
      <c r="F29" s="595"/>
      <c r="G29" s="55"/>
      <c r="H29" s="49"/>
      <c r="I29" s="49"/>
      <c r="J29" s="49"/>
      <c r="K29" s="49"/>
      <c r="L29" s="49"/>
      <c r="M29" s="49"/>
      <c r="N29" s="49"/>
      <c r="O29" s="49"/>
      <c r="P29" s="75"/>
      <c r="Q29" s="28"/>
      <c r="R29" s="28"/>
      <c r="S29" s="28"/>
      <c r="T29" s="28"/>
      <c r="U29" s="28"/>
      <c r="V29" s="28"/>
    </row>
    <row r="30" spans="1:22" ht="15">
      <c r="A30" s="44" t="s">
        <v>144</v>
      </c>
      <c r="B30" s="49">
        <v>35913</v>
      </c>
      <c r="C30" s="49">
        <v>41419</v>
      </c>
      <c r="D30" s="49">
        <v>39344</v>
      </c>
      <c r="E30" s="49">
        <v>38577</v>
      </c>
      <c r="F30" s="55">
        <v>38307</v>
      </c>
      <c r="G30" s="55">
        <v>38139</v>
      </c>
      <c r="H30" s="49">
        <v>32034</v>
      </c>
      <c r="I30" s="49">
        <v>31053</v>
      </c>
      <c r="J30" s="49">
        <v>37640</v>
      </c>
      <c r="K30" s="49">
        <v>38204</v>
      </c>
      <c r="L30" s="49">
        <v>31007</v>
      </c>
      <c r="M30" s="49">
        <v>29376</v>
      </c>
      <c r="N30" s="49">
        <v>26360</v>
      </c>
      <c r="O30" s="28">
        <v>23939</v>
      </c>
      <c r="P30" s="28">
        <v>20494</v>
      </c>
      <c r="Q30" s="28">
        <v>19417</v>
      </c>
      <c r="R30" s="28">
        <v>16537</v>
      </c>
      <c r="S30" s="28">
        <v>14507</v>
      </c>
      <c r="T30" s="28">
        <v>11217</v>
      </c>
      <c r="U30" s="28">
        <v>11202</v>
      </c>
      <c r="V30" s="28">
        <v>10134</v>
      </c>
    </row>
    <row r="31" spans="1:22" ht="15">
      <c r="A31" s="44" t="s">
        <v>566</v>
      </c>
      <c r="B31" s="49">
        <v>6</v>
      </c>
      <c r="C31" s="49">
        <v>11</v>
      </c>
      <c r="D31" s="49">
        <v>30</v>
      </c>
      <c r="E31" s="49">
        <v>15</v>
      </c>
      <c r="F31" s="55">
        <v>28</v>
      </c>
      <c r="G31" s="55">
        <v>23</v>
      </c>
      <c r="H31" s="49">
        <v>48</v>
      </c>
      <c r="I31" s="49">
        <v>55</v>
      </c>
      <c r="J31" s="49">
        <v>41</v>
      </c>
      <c r="K31" s="55" t="s">
        <v>152</v>
      </c>
      <c r="L31" s="55">
        <v>159</v>
      </c>
      <c r="M31" s="54" t="s">
        <v>152</v>
      </c>
      <c r="N31" s="55" t="s">
        <v>152</v>
      </c>
      <c r="O31" s="55" t="s">
        <v>152</v>
      </c>
      <c r="P31" s="28">
        <v>47</v>
      </c>
      <c r="Q31" s="28">
        <v>30</v>
      </c>
      <c r="R31" s="28">
        <v>36</v>
      </c>
      <c r="S31" s="28">
        <v>32</v>
      </c>
      <c r="T31" s="55" t="s">
        <v>152</v>
      </c>
      <c r="U31" s="55">
        <v>69</v>
      </c>
      <c r="V31" s="55">
        <v>19</v>
      </c>
    </row>
    <row r="32" spans="1:22" ht="15.75">
      <c r="A32" s="248" t="s">
        <v>150</v>
      </c>
      <c r="B32" s="111"/>
      <c r="C32" s="111"/>
      <c r="D32" s="111"/>
      <c r="E32" s="111"/>
      <c r="F32" s="111"/>
      <c r="G32" s="111"/>
      <c r="H32" s="111"/>
      <c r="I32" s="49"/>
      <c r="J32" s="49"/>
      <c r="K32" s="49"/>
      <c r="L32" s="49"/>
      <c r="M32" s="49"/>
      <c r="N32" s="49"/>
      <c r="O32" s="75"/>
      <c r="P32" s="28"/>
      <c r="Q32" s="28"/>
      <c r="R32" s="28" t="s">
        <v>292</v>
      </c>
      <c r="S32" s="28" t="s">
        <v>292</v>
      </c>
      <c r="T32" s="28" t="s">
        <v>292</v>
      </c>
      <c r="U32" s="28" t="s">
        <v>292</v>
      </c>
      <c r="V32" s="28"/>
    </row>
    <row r="33" spans="1:22" ht="15">
      <c r="A33" s="44" t="s">
        <v>144</v>
      </c>
      <c r="B33" s="49">
        <v>1048</v>
      </c>
      <c r="C33" s="49">
        <v>720</v>
      </c>
      <c r="D33" s="49">
        <v>947</v>
      </c>
      <c r="E33" s="49">
        <v>2171</v>
      </c>
      <c r="F33" s="55">
        <v>2012</v>
      </c>
      <c r="G33" s="55">
        <v>4115</v>
      </c>
      <c r="H33" s="49">
        <v>3775</v>
      </c>
      <c r="I33" s="49">
        <v>4227</v>
      </c>
      <c r="J33" s="49">
        <v>2091</v>
      </c>
      <c r="K33" s="49">
        <v>2128</v>
      </c>
      <c r="L33" s="49">
        <v>1922</v>
      </c>
      <c r="M33" s="49">
        <v>2431</v>
      </c>
      <c r="N33" s="49">
        <v>3315</v>
      </c>
      <c r="O33" s="28">
        <v>2983</v>
      </c>
      <c r="P33" s="28">
        <v>3164</v>
      </c>
      <c r="Q33" s="28">
        <v>3031</v>
      </c>
      <c r="R33" s="28">
        <v>3336</v>
      </c>
      <c r="S33" s="28">
        <v>2101</v>
      </c>
      <c r="T33" s="28">
        <v>2730</v>
      </c>
      <c r="U33" s="28">
        <v>3454</v>
      </c>
      <c r="V33" s="28">
        <v>3806</v>
      </c>
    </row>
    <row r="34" spans="1:22" ht="15">
      <c r="A34" s="44" t="s">
        <v>566</v>
      </c>
      <c r="B34" s="49">
        <v>262</v>
      </c>
      <c r="C34" s="49">
        <v>272</v>
      </c>
      <c r="D34" s="49">
        <v>241</v>
      </c>
      <c r="E34" s="49">
        <v>299</v>
      </c>
      <c r="F34" s="55">
        <v>253</v>
      </c>
      <c r="G34" s="55">
        <v>213</v>
      </c>
      <c r="H34" s="49">
        <v>196</v>
      </c>
      <c r="I34" s="49">
        <v>228</v>
      </c>
      <c r="J34" s="49">
        <v>245</v>
      </c>
      <c r="K34" s="49">
        <v>201</v>
      </c>
      <c r="L34" s="49">
        <v>223</v>
      </c>
      <c r="M34" s="49">
        <v>227</v>
      </c>
      <c r="N34" s="49">
        <v>186</v>
      </c>
      <c r="O34" s="49">
        <v>225</v>
      </c>
      <c r="P34" s="28">
        <v>161</v>
      </c>
      <c r="Q34" s="28">
        <v>175</v>
      </c>
      <c r="R34" s="28">
        <v>166</v>
      </c>
      <c r="S34" s="28">
        <v>151</v>
      </c>
      <c r="T34" s="28">
        <v>134</v>
      </c>
      <c r="U34" s="28">
        <v>209</v>
      </c>
      <c r="V34" s="28">
        <v>214</v>
      </c>
    </row>
    <row r="35" spans="1:22" ht="15.75">
      <c r="A35" s="248" t="s">
        <v>271</v>
      </c>
      <c r="B35" s="49"/>
      <c r="C35" s="49"/>
      <c r="D35" s="49"/>
      <c r="E35" s="49"/>
      <c r="F35" s="55"/>
      <c r="G35" s="55"/>
      <c r="H35" s="49"/>
      <c r="I35" s="49"/>
      <c r="J35" s="49"/>
      <c r="K35" s="49"/>
      <c r="L35" s="49"/>
      <c r="M35" s="49"/>
      <c r="N35" s="49"/>
      <c r="O35" s="49"/>
      <c r="P35" s="75"/>
      <c r="Q35" s="28"/>
      <c r="R35" s="28"/>
      <c r="S35" s="28"/>
      <c r="T35" s="28"/>
      <c r="U35" s="28"/>
      <c r="V35" s="28"/>
    </row>
    <row r="36" spans="1:22" ht="15">
      <c r="A36" s="44" t="s">
        <v>144</v>
      </c>
      <c r="B36" s="49">
        <v>498</v>
      </c>
      <c r="C36" s="49">
        <v>540</v>
      </c>
      <c r="D36" s="49">
        <v>525</v>
      </c>
      <c r="E36" s="49">
        <v>500</v>
      </c>
      <c r="F36" s="54" t="s">
        <v>189</v>
      </c>
      <c r="G36" s="54" t="s">
        <v>189</v>
      </c>
      <c r="H36" s="54" t="s">
        <v>189</v>
      </c>
      <c r="I36" s="54" t="s">
        <v>189</v>
      </c>
      <c r="J36" s="54" t="s">
        <v>189</v>
      </c>
      <c r="K36" s="54" t="s">
        <v>189</v>
      </c>
      <c r="L36" s="54" t="s">
        <v>189</v>
      </c>
      <c r="M36" s="54" t="s">
        <v>189</v>
      </c>
      <c r="N36" s="54" t="s">
        <v>189</v>
      </c>
      <c r="O36" s="54" t="s">
        <v>189</v>
      </c>
      <c r="P36" s="54" t="s">
        <v>189</v>
      </c>
      <c r="Q36" s="54" t="s">
        <v>189</v>
      </c>
      <c r="R36" s="54" t="s">
        <v>189</v>
      </c>
      <c r="S36" s="54" t="s">
        <v>189</v>
      </c>
      <c r="T36" s="54" t="s">
        <v>189</v>
      </c>
      <c r="U36" s="54" t="s">
        <v>189</v>
      </c>
      <c r="V36" s="54" t="s">
        <v>189</v>
      </c>
    </row>
    <row r="37" spans="1:22" ht="15">
      <c r="A37" s="44" t="s">
        <v>566</v>
      </c>
      <c r="B37" s="49">
        <v>160</v>
      </c>
      <c r="C37" s="49">
        <v>197</v>
      </c>
      <c r="D37" s="49">
        <v>199</v>
      </c>
      <c r="E37" s="49">
        <v>278</v>
      </c>
      <c r="F37" s="54" t="s">
        <v>189</v>
      </c>
      <c r="G37" s="54" t="s">
        <v>189</v>
      </c>
      <c r="H37" s="54" t="s">
        <v>189</v>
      </c>
      <c r="I37" s="54" t="s">
        <v>189</v>
      </c>
      <c r="J37" s="54" t="s">
        <v>189</v>
      </c>
      <c r="K37" s="54" t="s">
        <v>189</v>
      </c>
      <c r="L37" s="54" t="s">
        <v>189</v>
      </c>
      <c r="M37" s="54" t="s">
        <v>189</v>
      </c>
      <c r="N37" s="54" t="s">
        <v>189</v>
      </c>
      <c r="O37" s="54" t="s">
        <v>189</v>
      </c>
      <c r="P37" s="54" t="s">
        <v>189</v>
      </c>
      <c r="Q37" s="54" t="s">
        <v>189</v>
      </c>
      <c r="R37" s="54" t="s">
        <v>189</v>
      </c>
      <c r="S37" s="54" t="s">
        <v>189</v>
      </c>
      <c r="T37" s="54" t="s">
        <v>189</v>
      </c>
      <c r="U37" s="54" t="s">
        <v>189</v>
      </c>
      <c r="V37" s="54" t="s">
        <v>189</v>
      </c>
    </row>
    <row r="38" spans="1:22" ht="15.75">
      <c r="A38" s="248" t="s">
        <v>272</v>
      </c>
      <c r="B38" s="49"/>
      <c r="C38" s="49"/>
      <c r="D38" s="49"/>
      <c r="E38" s="49"/>
      <c r="F38" s="55"/>
      <c r="G38" s="55"/>
      <c r="H38" s="49"/>
      <c r="I38" s="49"/>
      <c r="J38" s="49"/>
      <c r="K38" s="49"/>
      <c r="L38" s="49"/>
      <c r="M38" s="49"/>
      <c r="N38" s="49"/>
      <c r="O38" s="75"/>
      <c r="P38" s="28"/>
      <c r="Q38" s="28"/>
      <c r="R38" s="28" t="s">
        <v>292</v>
      </c>
      <c r="S38" s="28" t="s">
        <v>292</v>
      </c>
      <c r="T38" s="28" t="s">
        <v>292</v>
      </c>
      <c r="U38" s="28" t="s">
        <v>292</v>
      </c>
      <c r="V38" s="28"/>
    </row>
    <row r="39" spans="1:22" ht="15">
      <c r="A39" s="44" t="s">
        <v>144</v>
      </c>
      <c r="B39" s="49">
        <v>1451</v>
      </c>
      <c r="C39" s="49">
        <v>1067</v>
      </c>
      <c r="D39" s="49">
        <v>590</v>
      </c>
      <c r="E39" s="49">
        <v>478</v>
      </c>
      <c r="F39" s="54" t="s">
        <v>189</v>
      </c>
      <c r="G39" s="54" t="s">
        <v>189</v>
      </c>
      <c r="H39" s="54" t="s">
        <v>189</v>
      </c>
      <c r="I39" s="54" t="s">
        <v>189</v>
      </c>
      <c r="J39" s="54">
        <v>445</v>
      </c>
      <c r="K39" s="49">
        <v>326</v>
      </c>
      <c r="L39" s="49">
        <v>285</v>
      </c>
      <c r="M39" s="49">
        <v>347</v>
      </c>
      <c r="N39" s="49">
        <v>436</v>
      </c>
      <c r="O39" s="49">
        <v>249</v>
      </c>
      <c r="P39" s="28">
        <v>451</v>
      </c>
      <c r="Q39" s="28">
        <v>369</v>
      </c>
      <c r="R39" s="28">
        <v>143</v>
      </c>
      <c r="S39" s="28">
        <v>230</v>
      </c>
      <c r="T39" s="28">
        <v>309</v>
      </c>
      <c r="U39" s="28">
        <v>365</v>
      </c>
      <c r="V39" s="28">
        <v>260</v>
      </c>
    </row>
    <row r="40" spans="1:22" ht="15">
      <c r="A40" s="44" t="s">
        <v>566</v>
      </c>
      <c r="B40" s="49">
        <v>572</v>
      </c>
      <c r="C40" s="49">
        <v>766</v>
      </c>
      <c r="D40" s="49">
        <v>877</v>
      </c>
      <c r="E40" s="49">
        <v>946</v>
      </c>
      <c r="F40" s="54" t="s">
        <v>189</v>
      </c>
      <c r="G40" s="54" t="s">
        <v>189</v>
      </c>
      <c r="H40" s="54" t="s">
        <v>189</v>
      </c>
      <c r="I40" s="54" t="s">
        <v>189</v>
      </c>
      <c r="J40" s="54">
        <v>1765</v>
      </c>
      <c r="K40" s="49">
        <v>797</v>
      </c>
      <c r="L40" s="49">
        <v>1054</v>
      </c>
      <c r="M40" s="49">
        <v>996</v>
      </c>
      <c r="N40" s="49">
        <v>615</v>
      </c>
      <c r="O40" s="49">
        <v>427</v>
      </c>
      <c r="P40" s="28">
        <v>477</v>
      </c>
      <c r="Q40" s="28">
        <v>578</v>
      </c>
      <c r="R40" s="28">
        <v>647</v>
      </c>
      <c r="S40" s="28">
        <v>641</v>
      </c>
      <c r="T40" s="28">
        <v>488</v>
      </c>
      <c r="U40" s="28">
        <v>742</v>
      </c>
      <c r="V40" s="28">
        <v>794</v>
      </c>
    </row>
    <row r="41" spans="1:22" ht="15.75">
      <c r="A41" s="248" t="s">
        <v>153</v>
      </c>
      <c r="B41" s="111"/>
      <c r="C41" s="111"/>
      <c r="D41" s="111"/>
      <c r="E41" s="111"/>
      <c r="F41" s="111"/>
      <c r="G41" s="111"/>
      <c r="H41" s="111"/>
      <c r="I41" s="49"/>
      <c r="J41" s="49"/>
      <c r="K41" s="49"/>
      <c r="L41" s="49"/>
      <c r="M41" s="49"/>
      <c r="N41" s="49"/>
      <c r="O41" s="75"/>
      <c r="P41" s="28"/>
      <c r="Q41" s="28"/>
      <c r="R41" s="28" t="s">
        <v>292</v>
      </c>
      <c r="S41" s="28"/>
      <c r="T41" s="28"/>
      <c r="U41" s="28"/>
      <c r="V41" s="28"/>
    </row>
    <row r="42" spans="1:22" ht="15">
      <c r="A42" s="44" t="s">
        <v>144</v>
      </c>
      <c r="B42" s="49">
        <v>900</v>
      </c>
      <c r="C42" s="49">
        <v>909</v>
      </c>
      <c r="D42" s="49">
        <v>925</v>
      </c>
      <c r="E42" s="49">
        <v>884</v>
      </c>
      <c r="F42" s="55">
        <v>852</v>
      </c>
      <c r="G42" s="55">
        <v>952</v>
      </c>
      <c r="H42" s="49">
        <v>930</v>
      </c>
      <c r="I42" s="49">
        <v>868</v>
      </c>
      <c r="J42" s="49">
        <v>852</v>
      </c>
      <c r="K42" s="49">
        <v>1063</v>
      </c>
      <c r="L42" s="49">
        <v>1086</v>
      </c>
      <c r="M42" s="49">
        <v>1092</v>
      </c>
      <c r="N42" s="49">
        <v>1068</v>
      </c>
      <c r="O42" s="28">
        <v>1357</v>
      </c>
      <c r="P42" s="28">
        <v>1396</v>
      </c>
      <c r="Q42" s="28">
        <v>1517</v>
      </c>
      <c r="R42" s="28">
        <v>1487</v>
      </c>
      <c r="S42" s="28">
        <v>1468</v>
      </c>
      <c r="T42" s="28">
        <v>1044</v>
      </c>
      <c r="U42" s="28">
        <v>1022</v>
      </c>
      <c r="V42" s="28">
        <v>1922</v>
      </c>
    </row>
    <row r="43" spans="1:22" ht="15">
      <c r="A43" s="44" t="s">
        <v>566</v>
      </c>
      <c r="B43" s="49">
        <v>3157</v>
      </c>
      <c r="C43" s="49">
        <v>3070</v>
      </c>
      <c r="D43" s="49">
        <v>2874</v>
      </c>
      <c r="E43" s="49">
        <v>2595</v>
      </c>
      <c r="F43" s="55">
        <v>2792</v>
      </c>
      <c r="G43" s="55">
        <v>3040</v>
      </c>
      <c r="H43" s="49">
        <v>3083</v>
      </c>
      <c r="I43" s="49">
        <v>2919</v>
      </c>
      <c r="J43" s="49">
        <v>2516</v>
      </c>
      <c r="K43" s="49">
        <v>2314</v>
      </c>
      <c r="L43" s="49">
        <v>2759</v>
      </c>
      <c r="M43" s="49">
        <v>2553</v>
      </c>
      <c r="N43" s="49">
        <v>2165</v>
      </c>
      <c r="O43" s="49">
        <v>2531</v>
      </c>
      <c r="P43" s="28">
        <v>3213</v>
      </c>
      <c r="Q43" s="28">
        <v>3146</v>
      </c>
      <c r="R43" s="28">
        <v>3644</v>
      </c>
      <c r="S43" s="28">
        <v>3365</v>
      </c>
      <c r="T43" s="28">
        <v>3526</v>
      </c>
      <c r="U43" s="28">
        <v>3142</v>
      </c>
      <c r="V43" s="28">
        <v>2243</v>
      </c>
    </row>
    <row r="44" spans="1:22" ht="15.75">
      <c r="A44" s="248" t="s">
        <v>273</v>
      </c>
      <c r="B44" s="49"/>
      <c r="C44" s="49"/>
      <c r="D44" s="49"/>
      <c r="E44" s="49"/>
      <c r="F44" s="55"/>
      <c r="G44" s="55"/>
      <c r="H44" s="49"/>
      <c r="I44" s="49"/>
      <c r="J44" s="49"/>
      <c r="K44" s="49"/>
      <c r="L44" s="49"/>
      <c r="M44" s="49"/>
      <c r="N44" s="49"/>
      <c r="O44" s="75"/>
      <c r="P44" s="28"/>
      <c r="Q44" s="28"/>
      <c r="R44" s="28"/>
      <c r="S44" s="28"/>
      <c r="T44" s="28"/>
      <c r="U44" s="28"/>
      <c r="V44" s="28"/>
    </row>
    <row r="45" spans="1:22" ht="15">
      <c r="A45" s="44" t="s">
        <v>144</v>
      </c>
      <c r="B45" s="49">
        <v>1</v>
      </c>
      <c r="C45" s="49">
        <v>1</v>
      </c>
      <c r="D45" s="49">
        <v>2</v>
      </c>
      <c r="E45" s="49">
        <v>2</v>
      </c>
      <c r="F45" s="54" t="s">
        <v>189</v>
      </c>
      <c r="G45" s="54" t="s">
        <v>189</v>
      </c>
      <c r="H45" s="54" t="s">
        <v>189</v>
      </c>
      <c r="I45" s="54" t="s">
        <v>189</v>
      </c>
      <c r="J45" s="54" t="s">
        <v>189</v>
      </c>
      <c r="K45" s="54" t="s">
        <v>189</v>
      </c>
      <c r="L45" s="54" t="s">
        <v>189</v>
      </c>
      <c r="M45" s="54" t="s">
        <v>189</v>
      </c>
      <c r="N45" s="54" t="s">
        <v>189</v>
      </c>
      <c r="O45" s="54" t="s">
        <v>189</v>
      </c>
      <c r="P45" s="54" t="s">
        <v>189</v>
      </c>
      <c r="Q45" s="54" t="s">
        <v>189</v>
      </c>
      <c r="R45" s="54" t="s">
        <v>189</v>
      </c>
      <c r="S45" s="54" t="s">
        <v>189</v>
      </c>
      <c r="T45" s="54" t="s">
        <v>189</v>
      </c>
      <c r="U45" s="54" t="s">
        <v>189</v>
      </c>
      <c r="V45" s="54" t="s">
        <v>189</v>
      </c>
    </row>
    <row r="46" spans="1:22" ht="15">
      <c r="A46" s="44" t="s">
        <v>566</v>
      </c>
      <c r="B46" s="49">
        <v>613</v>
      </c>
      <c r="C46" s="49">
        <v>673</v>
      </c>
      <c r="D46" s="49">
        <v>604</v>
      </c>
      <c r="E46" s="49">
        <v>607</v>
      </c>
      <c r="F46" s="54" t="s">
        <v>189</v>
      </c>
      <c r="G46" s="54" t="s">
        <v>189</v>
      </c>
      <c r="H46" s="54" t="s">
        <v>189</v>
      </c>
      <c r="I46" s="54" t="s">
        <v>189</v>
      </c>
      <c r="J46" s="54" t="s">
        <v>189</v>
      </c>
      <c r="K46" s="54" t="s">
        <v>189</v>
      </c>
      <c r="L46" s="54" t="s">
        <v>189</v>
      </c>
      <c r="M46" s="54" t="s">
        <v>189</v>
      </c>
      <c r="N46" s="54" t="s">
        <v>189</v>
      </c>
      <c r="O46" s="54" t="s">
        <v>189</v>
      </c>
      <c r="P46" s="54" t="s">
        <v>189</v>
      </c>
      <c r="Q46" s="54" t="s">
        <v>189</v>
      </c>
      <c r="R46" s="54" t="s">
        <v>189</v>
      </c>
      <c r="S46" s="54" t="s">
        <v>189</v>
      </c>
      <c r="T46" s="54" t="s">
        <v>189</v>
      </c>
      <c r="U46" s="54" t="s">
        <v>189</v>
      </c>
      <c r="V46" s="54" t="s">
        <v>189</v>
      </c>
    </row>
    <row r="47" spans="1:22" ht="15.75">
      <c r="A47" s="248" t="s">
        <v>274</v>
      </c>
      <c r="B47" s="49"/>
      <c r="C47" s="49"/>
      <c r="D47" s="49"/>
      <c r="E47" s="49"/>
      <c r="F47" s="55"/>
      <c r="G47" s="55"/>
      <c r="H47" s="49"/>
      <c r="I47" s="49"/>
      <c r="J47" s="49"/>
      <c r="K47" s="49"/>
      <c r="L47" s="49"/>
      <c r="M47" s="49"/>
      <c r="N47" s="49"/>
      <c r="O47" s="75"/>
      <c r="P47" s="28"/>
      <c r="Q47" s="28"/>
      <c r="R47" s="28" t="s">
        <v>292</v>
      </c>
      <c r="S47" s="28" t="s">
        <v>292</v>
      </c>
      <c r="T47" s="28" t="s">
        <v>292</v>
      </c>
      <c r="U47" s="28" t="s">
        <v>292</v>
      </c>
      <c r="V47" s="28"/>
    </row>
    <row r="48" spans="1:22" ht="15">
      <c r="A48" s="44" t="s">
        <v>144</v>
      </c>
      <c r="B48" s="49">
        <v>633</v>
      </c>
      <c r="C48" s="49">
        <v>646</v>
      </c>
      <c r="D48" s="49">
        <v>523</v>
      </c>
      <c r="E48" s="49">
        <v>503</v>
      </c>
      <c r="F48" s="54" t="s">
        <v>189</v>
      </c>
      <c r="G48" s="54" t="s">
        <v>189</v>
      </c>
      <c r="H48" s="54" t="s">
        <v>189</v>
      </c>
      <c r="I48" s="54" t="s">
        <v>189</v>
      </c>
      <c r="J48" s="54" t="s">
        <v>189</v>
      </c>
      <c r="K48" s="49">
        <v>408</v>
      </c>
      <c r="L48" s="49">
        <v>494</v>
      </c>
      <c r="M48" s="49">
        <v>512</v>
      </c>
      <c r="N48" s="55">
        <v>477</v>
      </c>
      <c r="O48" s="49">
        <v>494</v>
      </c>
      <c r="P48" s="28">
        <v>664</v>
      </c>
      <c r="Q48" s="28">
        <v>595</v>
      </c>
      <c r="R48" s="28">
        <v>528</v>
      </c>
      <c r="S48" s="28">
        <v>493</v>
      </c>
      <c r="T48" s="28">
        <v>448</v>
      </c>
      <c r="U48" s="28">
        <v>486</v>
      </c>
      <c r="V48" s="28">
        <v>560</v>
      </c>
    </row>
    <row r="49" spans="1:22" ht="15">
      <c r="A49" s="44" t="s">
        <v>566</v>
      </c>
      <c r="B49" s="49">
        <v>575</v>
      </c>
      <c r="C49" s="49">
        <v>409</v>
      </c>
      <c r="D49" s="49">
        <v>460</v>
      </c>
      <c r="E49" s="49">
        <v>529</v>
      </c>
      <c r="F49" s="54" t="s">
        <v>189</v>
      </c>
      <c r="G49" s="54" t="s">
        <v>189</v>
      </c>
      <c r="H49" s="54" t="s">
        <v>189</v>
      </c>
      <c r="I49" s="54" t="s">
        <v>189</v>
      </c>
      <c r="J49" s="54" t="s">
        <v>189</v>
      </c>
      <c r="K49" s="49">
        <v>639</v>
      </c>
      <c r="L49" s="49">
        <v>607</v>
      </c>
      <c r="M49" s="49">
        <v>591</v>
      </c>
      <c r="N49" s="49">
        <v>539</v>
      </c>
      <c r="O49" s="49">
        <v>564</v>
      </c>
      <c r="P49" s="28">
        <v>558</v>
      </c>
      <c r="Q49" s="28">
        <v>607</v>
      </c>
      <c r="R49" s="28">
        <v>507</v>
      </c>
      <c r="S49" s="28">
        <v>485</v>
      </c>
      <c r="T49" s="28">
        <v>362</v>
      </c>
      <c r="U49" s="28">
        <v>476</v>
      </c>
      <c r="V49" s="28">
        <v>369</v>
      </c>
    </row>
    <row r="50" spans="1:22" ht="15.75">
      <c r="A50" s="248" t="s">
        <v>275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75"/>
      <c r="P50" s="28"/>
      <c r="Q50" s="28"/>
      <c r="R50" s="28"/>
      <c r="S50" s="28"/>
      <c r="T50" s="28"/>
      <c r="U50" s="28"/>
      <c r="V50" s="28"/>
    </row>
    <row r="51" spans="1:22" ht="15">
      <c r="A51" s="44" t="s">
        <v>144</v>
      </c>
      <c r="B51" s="49">
        <v>59</v>
      </c>
      <c r="C51" s="49">
        <v>76</v>
      </c>
      <c r="D51" s="49">
        <v>62</v>
      </c>
      <c r="E51" s="49">
        <v>52</v>
      </c>
      <c r="F51" s="54" t="s">
        <v>189</v>
      </c>
      <c r="G51" s="54" t="s">
        <v>189</v>
      </c>
      <c r="H51" s="54" t="s">
        <v>189</v>
      </c>
      <c r="I51" s="54" t="s">
        <v>189</v>
      </c>
      <c r="J51" s="54" t="s">
        <v>189</v>
      </c>
      <c r="K51" s="54" t="s">
        <v>189</v>
      </c>
      <c r="L51" s="54" t="s">
        <v>189</v>
      </c>
      <c r="M51" s="54" t="s">
        <v>189</v>
      </c>
      <c r="N51" s="54" t="s">
        <v>189</v>
      </c>
      <c r="O51" s="54" t="s">
        <v>189</v>
      </c>
      <c r="P51" s="54" t="s">
        <v>189</v>
      </c>
      <c r="Q51" s="54" t="s">
        <v>189</v>
      </c>
      <c r="R51" s="54" t="s">
        <v>189</v>
      </c>
      <c r="S51" s="54" t="s">
        <v>189</v>
      </c>
      <c r="T51" s="54" t="s">
        <v>189</v>
      </c>
      <c r="U51" s="54" t="s">
        <v>189</v>
      </c>
      <c r="V51" s="54" t="s">
        <v>189</v>
      </c>
    </row>
    <row r="52" spans="1:22" ht="15">
      <c r="A52" s="44" t="s">
        <v>566</v>
      </c>
      <c r="B52" s="49">
        <v>271</v>
      </c>
      <c r="C52" s="49">
        <v>194</v>
      </c>
      <c r="D52" s="49">
        <v>188</v>
      </c>
      <c r="E52" s="49">
        <v>208</v>
      </c>
      <c r="F52" s="54" t="s">
        <v>189</v>
      </c>
      <c r="G52" s="54" t="s">
        <v>189</v>
      </c>
      <c r="H52" s="54" t="s">
        <v>189</v>
      </c>
      <c r="I52" s="54" t="s">
        <v>189</v>
      </c>
      <c r="J52" s="54" t="s">
        <v>189</v>
      </c>
      <c r="K52" s="54" t="s">
        <v>189</v>
      </c>
      <c r="L52" s="54" t="s">
        <v>189</v>
      </c>
      <c r="M52" s="54" t="s">
        <v>189</v>
      </c>
      <c r="N52" s="54" t="s">
        <v>189</v>
      </c>
      <c r="O52" s="54" t="s">
        <v>189</v>
      </c>
      <c r="P52" s="54" t="s">
        <v>189</v>
      </c>
      <c r="Q52" s="54" t="s">
        <v>189</v>
      </c>
      <c r="R52" s="54" t="s">
        <v>189</v>
      </c>
      <c r="S52" s="54" t="s">
        <v>189</v>
      </c>
      <c r="T52" s="54" t="s">
        <v>189</v>
      </c>
      <c r="U52" s="54" t="s">
        <v>189</v>
      </c>
      <c r="V52" s="54" t="s">
        <v>189</v>
      </c>
    </row>
    <row r="53" spans="1:22" ht="15.75">
      <c r="A53" s="248" t="s">
        <v>154</v>
      </c>
      <c r="B53" s="111"/>
      <c r="C53" s="111"/>
      <c r="D53" s="111"/>
      <c r="E53" s="111"/>
      <c r="F53" s="111"/>
      <c r="G53" s="111"/>
      <c r="H53" s="111"/>
      <c r="I53" s="49"/>
      <c r="J53" s="49"/>
      <c r="K53" s="49"/>
      <c r="L53" s="49"/>
      <c r="M53" s="49"/>
      <c r="N53" s="49"/>
      <c r="O53" s="75"/>
      <c r="P53" s="28"/>
      <c r="Q53" s="28"/>
      <c r="R53" s="28" t="s">
        <v>292</v>
      </c>
      <c r="S53" s="28" t="s">
        <v>292</v>
      </c>
      <c r="T53" s="28" t="s">
        <v>292</v>
      </c>
      <c r="U53" s="28" t="s">
        <v>292</v>
      </c>
      <c r="V53" s="28"/>
    </row>
    <row r="54" spans="1:22" ht="15">
      <c r="A54" s="44" t="s">
        <v>144</v>
      </c>
      <c r="B54" s="49">
        <v>18375</v>
      </c>
      <c r="C54" s="49">
        <v>19218</v>
      </c>
      <c r="D54" s="49">
        <v>22665</v>
      </c>
      <c r="E54" s="49">
        <v>40638</v>
      </c>
      <c r="F54" s="55">
        <v>43323</v>
      </c>
      <c r="G54" s="55">
        <v>41503</v>
      </c>
      <c r="H54" s="49">
        <v>38633</v>
      </c>
      <c r="I54" s="49">
        <v>39210</v>
      </c>
      <c r="J54" s="49">
        <v>41781</v>
      </c>
      <c r="K54" s="49">
        <v>38192</v>
      </c>
      <c r="L54" s="49">
        <v>37762</v>
      </c>
      <c r="M54" s="49">
        <v>38211</v>
      </c>
      <c r="N54" s="49">
        <v>34720</v>
      </c>
      <c r="O54" s="28">
        <v>30855</v>
      </c>
      <c r="P54" s="28">
        <v>29586</v>
      </c>
      <c r="Q54" s="28">
        <v>27455</v>
      </c>
      <c r="R54" s="28">
        <v>32738</v>
      </c>
      <c r="S54" s="28">
        <v>34863</v>
      </c>
      <c r="T54" s="28">
        <v>32438</v>
      </c>
      <c r="U54" s="28">
        <v>30405</v>
      </c>
      <c r="V54" s="28">
        <v>23208</v>
      </c>
    </row>
    <row r="55" spans="1:22" ht="15">
      <c r="A55" s="44" t="s">
        <v>566</v>
      </c>
      <c r="B55" s="49">
        <v>4488</v>
      </c>
      <c r="C55" s="49">
        <v>4052</v>
      </c>
      <c r="D55" s="49">
        <v>3710</v>
      </c>
      <c r="E55" s="49">
        <v>3721</v>
      </c>
      <c r="F55" s="55">
        <v>3760</v>
      </c>
      <c r="G55" s="55">
        <v>4080</v>
      </c>
      <c r="H55" s="49">
        <v>4470</v>
      </c>
      <c r="I55" s="49">
        <v>5190</v>
      </c>
      <c r="J55" s="49">
        <v>3614</v>
      </c>
      <c r="K55" s="49">
        <v>2951</v>
      </c>
      <c r="L55" s="49">
        <v>3845</v>
      </c>
      <c r="M55" s="49">
        <v>3991</v>
      </c>
      <c r="N55" s="49">
        <v>4032</v>
      </c>
      <c r="O55" s="49">
        <v>4037</v>
      </c>
      <c r="P55" s="28">
        <v>4632</v>
      </c>
      <c r="Q55" s="28">
        <v>4101</v>
      </c>
      <c r="R55" s="28">
        <v>3943</v>
      </c>
      <c r="S55" s="28">
        <v>4191</v>
      </c>
      <c r="T55" s="28">
        <v>4252</v>
      </c>
      <c r="U55" s="28">
        <v>3930</v>
      </c>
      <c r="V55" s="28">
        <v>4670</v>
      </c>
    </row>
    <row r="56" spans="1:21" ht="18.75">
      <c r="A56" s="248" t="s">
        <v>74</v>
      </c>
      <c r="B56" s="111"/>
      <c r="C56" s="111"/>
      <c r="D56" s="111"/>
      <c r="E56" s="111"/>
      <c r="F56" s="111"/>
      <c r="G56" s="111"/>
      <c r="H56" s="111"/>
      <c r="I56" s="49"/>
      <c r="J56" s="49"/>
      <c r="K56" s="49"/>
      <c r="L56" s="49"/>
      <c r="M56" s="49"/>
      <c r="N56" s="49"/>
      <c r="O56" s="49"/>
      <c r="Q56" s="28"/>
      <c r="R56" s="28"/>
      <c r="S56" s="28"/>
      <c r="T56" s="28"/>
      <c r="U56" s="28"/>
    </row>
    <row r="57" spans="1:22" ht="15">
      <c r="A57" s="44" t="s">
        <v>144</v>
      </c>
      <c r="B57" s="49">
        <v>78</v>
      </c>
      <c r="C57" s="49">
        <v>77</v>
      </c>
      <c r="D57" s="49">
        <v>81</v>
      </c>
      <c r="E57" s="49">
        <v>68</v>
      </c>
      <c r="F57" s="54" t="s">
        <v>189</v>
      </c>
      <c r="G57" s="54" t="s">
        <v>189</v>
      </c>
      <c r="H57" s="54" t="s">
        <v>189</v>
      </c>
      <c r="I57" s="54" t="s">
        <v>189</v>
      </c>
      <c r="J57" s="54" t="s">
        <v>189</v>
      </c>
      <c r="K57" s="54" t="s">
        <v>189</v>
      </c>
      <c r="L57" s="54" t="s">
        <v>189</v>
      </c>
      <c r="M57" s="54" t="s">
        <v>189</v>
      </c>
      <c r="N57" s="54" t="s">
        <v>189</v>
      </c>
      <c r="O57" s="54" t="s">
        <v>189</v>
      </c>
      <c r="P57" s="54" t="s">
        <v>189</v>
      </c>
      <c r="Q57" s="54" t="s">
        <v>189</v>
      </c>
      <c r="R57" s="54" t="s">
        <v>189</v>
      </c>
      <c r="S57" s="54" t="s">
        <v>189</v>
      </c>
      <c r="T57" s="54" t="s">
        <v>189</v>
      </c>
      <c r="U57" s="54" t="s">
        <v>189</v>
      </c>
      <c r="V57" s="54" t="s">
        <v>189</v>
      </c>
    </row>
    <row r="58" spans="1:22" ht="15">
      <c r="A58" s="44" t="s">
        <v>145</v>
      </c>
      <c r="B58" s="49">
        <v>319</v>
      </c>
      <c r="C58" s="49">
        <v>404</v>
      </c>
      <c r="D58" s="49">
        <v>470</v>
      </c>
      <c r="E58" s="49">
        <v>422</v>
      </c>
      <c r="F58" s="54" t="s">
        <v>189</v>
      </c>
      <c r="G58" s="54" t="s">
        <v>189</v>
      </c>
      <c r="H58" s="54" t="s">
        <v>189</v>
      </c>
      <c r="I58" s="54" t="s">
        <v>189</v>
      </c>
      <c r="J58" s="54" t="s">
        <v>189</v>
      </c>
      <c r="K58" s="54" t="s">
        <v>189</v>
      </c>
      <c r="L58" s="54" t="s">
        <v>189</v>
      </c>
      <c r="M58" s="54" t="s">
        <v>189</v>
      </c>
      <c r="N58" s="54" t="s">
        <v>189</v>
      </c>
      <c r="O58" s="54" t="s">
        <v>189</v>
      </c>
      <c r="P58" s="54" t="s">
        <v>189</v>
      </c>
      <c r="Q58" s="54" t="s">
        <v>189</v>
      </c>
      <c r="R58" s="54" t="s">
        <v>189</v>
      </c>
      <c r="S58" s="54" t="s">
        <v>189</v>
      </c>
      <c r="T58" s="54" t="s">
        <v>189</v>
      </c>
      <c r="U58" s="54" t="s">
        <v>189</v>
      </c>
      <c r="V58" s="54" t="s">
        <v>189</v>
      </c>
    </row>
    <row r="59" spans="1:20" ht="15.75">
      <c r="A59" s="248"/>
      <c r="F59" s="49"/>
      <c r="G59" s="49"/>
      <c r="H59" s="49"/>
      <c r="I59" s="49"/>
      <c r="J59" s="49"/>
      <c r="K59" s="49"/>
      <c r="L59" s="49"/>
      <c r="M59" s="49"/>
      <c r="N59" s="49"/>
      <c r="O59" s="49"/>
      <c r="R59" s="25"/>
      <c r="S59" s="25"/>
      <c r="T59" s="25"/>
    </row>
    <row r="60" spans="1:20" ht="18.75">
      <c r="A60" s="248" t="s">
        <v>656</v>
      </c>
      <c r="K60" s="49"/>
      <c r="L60" s="49"/>
      <c r="M60" s="49"/>
      <c r="N60" s="49"/>
      <c r="O60" s="49"/>
      <c r="R60" s="25"/>
      <c r="S60" s="25"/>
      <c r="T60" s="25"/>
    </row>
    <row r="61" spans="1:22" ht="18">
      <c r="A61" s="44" t="s">
        <v>75</v>
      </c>
      <c r="B61" s="49"/>
      <c r="C61" s="49"/>
      <c r="D61" s="49"/>
      <c r="E61" s="49"/>
      <c r="F61" s="55"/>
      <c r="G61" s="125"/>
      <c r="H61" s="102"/>
      <c r="I61" s="102"/>
      <c r="J61" s="102"/>
      <c r="K61" s="102">
        <v>108334</v>
      </c>
      <c r="L61" s="102">
        <v>100087</v>
      </c>
      <c r="M61" s="102">
        <v>98641</v>
      </c>
      <c r="N61" s="216">
        <f aca="true" t="shared" si="0" ref="N61:S61">SUM(N6,N9,N12,N15,N18,N21,N24,N27,N30,N33,N36,N39,N42,N45,N48,N51,N54,N57)</f>
        <v>88100</v>
      </c>
      <c r="O61" s="216">
        <f t="shared" si="0"/>
        <v>87164</v>
      </c>
      <c r="P61" s="216">
        <f t="shared" si="0"/>
        <v>83919</v>
      </c>
      <c r="Q61" s="216">
        <f t="shared" si="0"/>
        <v>76593</v>
      </c>
      <c r="R61" s="216">
        <f t="shared" si="0"/>
        <v>75008</v>
      </c>
      <c r="S61" s="216">
        <f t="shared" si="0"/>
        <v>70454</v>
      </c>
      <c r="T61" s="216">
        <f aca="true" t="shared" si="1" ref="T61:V62">SUM(T6,T9,T12,T15,T18,T21,T24,T27,T30,T33,T36,T39,T42,T45,T48,T51,T54,T57)</f>
        <v>61885</v>
      </c>
      <c r="U61" s="216">
        <f t="shared" si="1"/>
        <v>60142</v>
      </c>
      <c r="V61" s="216">
        <f t="shared" si="1"/>
        <v>47110</v>
      </c>
    </row>
    <row r="62" spans="1:22" ht="15">
      <c r="A62" s="44" t="s">
        <v>566</v>
      </c>
      <c r="B62" s="49"/>
      <c r="C62" s="49"/>
      <c r="D62" s="49"/>
      <c r="E62" s="49"/>
      <c r="F62" s="597"/>
      <c r="G62" s="597"/>
      <c r="H62" s="597"/>
      <c r="I62" s="597"/>
      <c r="J62" s="597"/>
      <c r="K62" s="102">
        <v>18599</v>
      </c>
      <c r="L62" s="102">
        <v>19481</v>
      </c>
      <c r="M62" s="102">
        <v>19449</v>
      </c>
      <c r="N62" s="216">
        <f aca="true" t="shared" si="2" ref="N62:S62">SUM(N7,N10,N13,N16,N19,N22,N25,N28,N31,N34,N37,N40,N43,N46,N49,N52,N55,N58)</f>
        <v>18373</v>
      </c>
      <c r="O62" s="216">
        <f t="shared" si="2"/>
        <v>19253</v>
      </c>
      <c r="P62" s="216">
        <f t="shared" si="2"/>
        <v>21073</v>
      </c>
      <c r="Q62" s="216">
        <f t="shared" si="2"/>
        <v>21029</v>
      </c>
      <c r="R62" s="216">
        <f t="shared" si="2"/>
        <v>22803</v>
      </c>
      <c r="S62" s="216">
        <f t="shared" si="2"/>
        <v>21654</v>
      </c>
      <c r="T62" s="216">
        <f t="shared" si="1"/>
        <v>20196</v>
      </c>
      <c r="U62" s="216">
        <f t="shared" si="1"/>
        <v>20384</v>
      </c>
      <c r="V62" s="216">
        <f t="shared" si="1"/>
        <v>26842</v>
      </c>
    </row>
    <row r="63" spans="1:20" ht="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102"/>
      <c r="L63" s="102"/>
      <c r="M63" s="102"/>
      <c r="N63" s="102"/>
      <c r="R63" s="25"/>
      <c r="S63" s="25"/>
      <c r="T63" s="25"/>
    </row>
    <row r="64" spans="1:20" ht="15.75">
      <c r="A64" s="100" t="s">
        <v>422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2"/>
      <c r="L64" s="102"/>
      <c r="M64" s="102"/>
      <c r="N64" s="102"/>
      <c r="R64" s="25"/>
      <c r="S64" s="25"/>
      <c r="T64" s="25"/>
    </row>
    <row r="65" spans="1:22" ht="15">
      <c r="A65" s="64" t="s">
        <v>423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>
        <f>SUM(K6,K7,K9,K10,K15,K16,K18,K19,K24,K25,K30,K31,K33,K34,K39,K40,K42,K43,K48,K49,K54,K55)</f>
        <v>126933</v>
      </c>
      <c r="L65" s="216">
        <f>SUM(L6,L7,L9,L10,L15,L16,L18,L19,L24,L25,L30,L31,L33,L34,L39,L40,L42,L43,L48,L49,L54,L55)</f>
        <v>119568</v>
      </c>
      <c r="M65" s="216">
        <f>SUM(M6,M7,M9,M10,M15,M16,M18,M19,M24,M25,M30,M31,M33,M34,M39,M40,M42,M43,M48,M49,M54,M55)</f>
        <v>118090</v>
      </c>
      <c r="N65" s="216">
        <f aca="true" t="shared" si="3" ref="N65:S65">SUM(N6:N59)</f>
        <v>106473</v>
      </c>
      <c r="O65" s="216">
        <f t="shared" si="3"/>
        <v>106417</v>
      </c>
      <c r="P65" s="216">
        <f t="shared" si="3"/>
        <v>104992</v>
      </c>
      <c r="Q65" s="216">
        <f t="shared" si="3"/>
        <v>97622</v>
      </c>
      <c r="R65" s="216">
        <f t="shared" si="3"/>
        <v>97811</v>
      </c>
      <c r="S65" s="216">
        <f t="shared" si="3"/>
        <v>92108</v>
      </c>
      <c r="T65" s="216">
        <f>SUM(T6:T59)</f>
        <v>82081</v>
      </c>
      <c r="U65" s="216">
        <f>SUM(U6:U59)</f>
        <v>80526</v>
      </c>
      <c r="V65" s="216">
        <f>SUM(V6:V59)</f>
        <v>73952</v>
      </c>
    </row>
    <row r="66" spans="1:22" ht="15">
      <c r="A66" s="257" t="s">
        <v>424</v>
      </c>
      <c r="B66" s="268"/>
      <c r="C66" s="268"/>
      <c r="D66" s="268"/>
      <c r="E66" s="268"/>
      <c r="F66" s="269"/>
      <c r="G66" s="269"/>
      <c r="H66" s="269"/>
      <c r="I66" s="269"/>
      <c r="J66" s="269"/>
      <c r="K66" s="268">
        <v>130512</v>
      </c>
      <c r="L66" s="268">
        <v>123820</v>
      </c>
      <c r="M66" s="268">
        <v>122156</v>
      </c>
      <c r="N66" s="268">
        <v>110535</v>
      </c>
      <c r="O66" s="268">
        <v>110444</v>
      </c>
      <c r="P66" s="268">
        <v>108890</v>
      </c>
      <c r="Q66" s="268">
        <v>101587</v>
      </c>
      <c r="R66" s="268">
        <v>101952</v>
      </c>
      <c r="S66" s="268">
        <v>96345</v>
      </c>
      <c r="T66" s="268">
        <v>85547</v>
      </c>
      <c r="U66" s="268">
        <v>84817</v>
      </c>
      <c r="V66" s="268">
        <v>77413.758</v>
      </c>
    </row>
    <row r="67" spans="1:20" s="5" customFormat="1" ht="12.75">
      <c r="A67" s="244" t="s">
        <v>76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05"/>
      <c r="Q67" s="205"/>
      <c r="R67" s="205"/>
      <c r="S67" s="205"/>
      <c r="T67" s="205"/>
    </row>
    <row r="68" spans="1:21" s="5" customFormat="1" ht="12.75">
      <c r="A68" s="103" t="s">
        <v>372</v>
      </c>
      <c r="B68" s="103"/>
      <c r="C68" s="103"/>
      <c r="D68" s="103"/>
      <c r="E68" s="103"/>
      <c r="F68" s="103"/>
      <c r="G68" s="103"/>
      <c r="H68" s="103"/>
      <c r="I68" s="103"/>
      <c r="J68" s="103"/>
      <c r="K68" s="56"/>
      <c r="L68" s="56"/>
      <c r="M68" s="56"/>
      <c r="N68" s="56"/>
      <c r="O68" s="56"/>
      <c r="R68" s="205"/>
      <c r="S68" s="205"/>
      <c r="T68" s="205"/>
      <c r="U68" s="235"/>
    </row>
    <row r="69" spans="1:20" s="5" customFormat="1" ht="12.75">
      <c r="A69" s="103" t="s">
        <v>373</v>
      </c>
      <c r="B69" s="103"/>
      <c r="C69" s="103"/>
      <c r="D69" s="103"/>
      <c r="E69" s="103"/>
      <c r="F69" s="103"/>
      <c r="G69" s="103"/>
      <c r="H69" s="103"/>
      <c r="I69" s="103"/>
      <c r="J69" s="103"/>
      <c r="K69" s="56"/>
      <c r="L69" s="56"/>
      <c r="M69" s="56"/>
      <c r="N69" s="56"/>
      <c r="O69" s="56"/>
      <c r="R69" s="205"/>
      <c r="S69" s="205"/>
      <c r="T69" s="205"/>
    </row>
    <row r="70" spans="1:20" s="5" customFormat="1" ht="12.75">
      <c r="A70" s="245" t="s">
        <v>77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05"/>
      <c r="L70" s="205"/>
      <c r="M70" s="205"/>
      <c r="N70" s="205"/>
      <c r="O70" s="205"/>
      <c r="P70" s="205"/>
      <c r="Q70" s="205"/>
      <c r="R70" s="205"/>
      <c r="S70" s="205"/>
      <c r="T70" s="205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63" r:id="rId1"/>
  <headerFooter alignWithMargins="0">
    <oddHeader>&amp;R&amp;"Arial,Bold"&amp;16WATER TRANSPORT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421875" style="25" customWidth="1"/>
    <col min="2" max="2" width="12.00390625" style="25" customWidth="1"/>
    <col min="3" max="3" width="17.00390625" style="25" customWidth="1"/>
    <col min="4" max="8" width="8.8515625" style="25" hidden="1" customWidth="1"/>
    <col min="9" max="13" width="9.7109375" style="25" customWidth="1"/>
    <col min="14" max="16" width="9.7109375" style="75" customWidth="1"/>
    <col min="17" max="18" width="9.7109375" style="25" customWidth="1"/>
    <col min="19" max="19" width="9.57421875" style="25" customWidth="1"/>
    <col min="20" max="20" width="1.57421875" style="25" customWidth="1"/>
    <col min="21" max="16384" width="9.140625" style="25" customWidth="1"/>
  </cols>
  <sheetData>
    <row r="1" spans="1:18" ht="16.5">
      <c r="A1" s="533" t="s">
        <v>61</v>
      </c>
      <c r="B1" s="33"/>
      <c r="C1" s="33"/>
      <c r="D1" s="33"/>
      <c r="E1" s="33"/>
      <c r="F1" s="33"/>
      <c r="G1" s="33"/>
      <c r="H1" s="33"/>
      <c r="I1" s="33"/>
      <c r="J1" s="33"/>
      <c r="R1" s="272"/>
    </row>
    <row r="2" spans="1:10" ht="15">
      <c r="A2" s="33"/>
      <c r="C2" s="33"/>
      <c r="D2" s="33"/>
      <c r="E2" s="33"/>
      <c r="F2" s="33"/>
      <c r="G2" s="33"/>
      <c r="H2" s="33"/>
      <c r="I2" s="33"/>
      <c r="J2" s="33"/>
    </row>
    <row r="3" spans="1:19" ht="15" customHeight="1">
      <c r="A3" s="275"/>
      <c r="B3" s="275"/>
      <c r="C3" s="275"/>
      <c r="D3" s="276">
        <v>1996</v>
      </c>
      <c r="E3" s="276">
        <v>1997</v>
      </c>
      <c r="F3" s="276">
        <v>1998</v>
      </c>
      <c r="G3" s="276">
        <v>1999</v>
      </c>
      <c r="H3" s="276">
        <v>2000</v>
      </c>
      <c r="I3" s="276">
        <v>2001</v>
      </c>
      <c r="J3" s="276">
        <v>2002</v>
      </c>
      <c r="K3" s="276">
        <v>2003</v>
      </c>
      <c r="L3" s="276">
        <v>2004</v>
      </c>
      <c r="M3" s="276">
        <v>2005</v>
      </c>
      <c r="N3" s="276">
        <v>2006</v>
      </c>
      <c r="O3" s="276">
        <v>2007</v>
      </c>
      <c r="P3" s="276">
        <v>2008</v>
      </c>
      <c r="Q3" s="276">
        <v>2009</v>
      </c>
      <c r="R3" s="276">
        <v>2010</v>
      </c>
      <c r="S3" s="276">
        <v>2011</v>
      </c>
    </row>
    <row r="4" spans="2:16" ht="1.5" customHeight="1">
      <c r="B4" s="33"/>
      <c r="C4" s="33"/>
      <c r="D4" s="33"/>
      <c r="E4" s="33"/>
      <c r="F4" s="33"/>
      <c r="G4" s="33"/>
      <c r="H4" s="33"/>
      <c r="K4" s="273"/>
      <c r="L4" s="273"/>
      <c r="M4" s="75"/>
      <c r="N4" s="25"/>
      <c r="O4" s="25"/>
      <c r="P4" s="25"/>
    </row>
    <row r="5" spans="1:19" ht="14.25" customHeight="1">
      <c r="A5" s="37" t="s">
        <v>276</v>
      </c>
      <c r="B5" s="33"/>
      <c r="C5" s="33"/>
      <c r="D5" s="33"/>
      <c r="E5" s="33"/>
      <c r="F5" s="33"/>
      <c r="G5" s="33"/>
      <c r="H5" s="33"/>
      <c r="K5" s="273"/>
      <c r="L5" s="273"/>
      <c r="M5" s="273"/>
      <c r="N5" s="25"/>
      <c r="O5" s="25"/>
      <c r="P5" s="210"/>
      <c r="Q5" s="210"/>
      <c r="R5" s="210"/>
      <c r="S5" s="210" t="s">
        <v>133</v>
      </c>
    </row>
    <row r="6" spans="2:16" ht="1.5" customHeight="1">
      <c r="B6" s="33"/>
      <c r="C6" s="33"/>
      <c r="D6" s="33"/>
      <c r="E6" s="33"/>
      <c r="F6" s="33"/>
      <c r="G6" s="33"/>
      <c r="H6" s="33"/>
      <c r="K6" s="273"/>
      <c r="L6" s="273"/>
      <c r="M6" s="273"/>
      <c r="N6" s="25"/>
      <c r="O6" s="25"/>
      <c r="P6" s="25"/>
    </row>
    <row r="7" spans="2:16" ht="14.25" customHeight="1">
      <c r="B7" s="2" t="s">
        <v>329</v>
      </c>
      <c r="C7" s="33"/>
      <c r="D7" s="33"/>
      <c r="E7" s="33"/>
      <c r="F7" s="33"/>
      <c r="G7" s="33"/>
      <c r="H7" s="33"/>
      <c r="I7" s="102"/>
      <c r="J7" s="102"/>
      <c r="K7" s="102"/>
      <c r="L7" s="102"/>
      <c r="M7" s="102"/>
      <c r="N7" s="25"/>
      <c r="O7" s="25"/>
      <c r="P7" s="25"/>
    </row>
    <row r="8" spans="2:19" ht="14.25" customHeight="1">
      <c r="B8" s="25" t="s">
        <v>156</v>
      </c>
      <c r="C8" s="33"/>
      <c r="D8" s="31" t="s">
        <v>189</v>
      </c>
      <c r="E8" s="31" t="s">
        <v>189</v>
      </c>
      <c r="F8" s="31" t="s">
        <v>189</v>
      </c>
      <c r="G8" s="31" t="s">
        <v>189</v>
      </c>
      <c r="H8" s="54" t="s">
        <v>152</v>
      </c>
      <c r="I8" s="54" t="s">
        <v>152</v>
      </c>
      <c r="J8" s="54" t="s">
        <v>152</v>
      </c>
      <c r="K8" s="55" t="s">
        <v>152</v>
      </c>
      <c r="L8" s="55" t="s">
        <v>152</v>
      </c>
      <c r="M8" s="55" t="s">
        <v>152</v>
      </c>
      <c r="N8" s="55" t="s">
        <v>152</v>
      </c>
      <c r="O8" s="55" t="s">
        <v>152</v>
      </c>
      <c r="P8" s="55" t="s">
        <v>152</v>
      </c>
      <c r="Q8" s="55" t="s">
        <v>152</v>
      </c>
      <c r="R8" s="55" t="s">
        <v>152</v>
      </c>
      <c r="S8" s="55" t="s">
        <v>152</v>
      </c>
    </row>
    <row r="9" spans="2:19" ht="14.25" customHeight="1">
      <c r="B9" s="25" t="s">
        <v>157</v>
      </c>
      <c r="C9" s="33"/>
      <c r="D9" s="31" t="s">
        <v>189</v>
      </c>
      <c r="E9" s="31" t="s">
        <v>189</v>
      </c>
      <c r="F9" s="31" t="s">
        <v>189</v>
      </c>
      <c r="G9" s="31" t="s">
        <v>189</v>
      </c>
      <c r="H9" s="54" t="s">
        <v>152</v>
      </c>
      <c r="I9" s="54" t="s">
        <v>152</v>
      </c>
      <c r="J9" s="54" t="s">
        <v>152</v>
      </c>
      <c r="K9" s="55" t="s">
        <v>152</v>
      </c>
      <c r="L9" s="55" t="s">
        <v>152</v>
      </c>
      <c r="M9" s="55" t="s">
        <v>152</v>
      </c>
      <c r="N9" s="55" t="s">
        <v>152</v>
      </c>
      <c r="O9" s="55" t="s">
        <v>152</v>
      </c>
      <c r="P9" s="55" t="s">
        <v>152</v>
      </c>
      <c r="Q9" s="55" t="s">
        <v>152</v>
      </c>
      <c r="R9" s="55" t="s">
        <v>152</v>
      </c>
      <c r="S9" s="55" t="s">
        <v>152</v>
      </c>
    </row>
    <row r="10" spans="2:19" ht="14.25" customHeight="1">
      <c r="B10" s="25" t="s">
        <v>158</v>
      </c>
      <c r="C10" s="33"/>
      <c r="D10" s="31" t="s">
        <v>189</v>
      </c>
      <c r="E10" s="31" t="s">
        <v>189</v>
      </c>
      <c r="F10" s="31" t="s">
        <v>189</v>
      </c>
      <c r="G10" s="31" t="s">
        <v>189</v>
      </c>
      <c r="H10" s="102">
        <v>1506</v>
      </c>
      <c r="I10" s="102">
        <v>1404</v>
      </c>
      <c r="J10" s="102">
        <v>1273</v>
      </c>
      <c r="K10" s="102">
        <v>1274</v>
      </c>
      <c r="L10" s="26">
        <v>1277</v>
      </c>
      <c r="M10" s="26">
        <v>1165</v>
      </c>
      <c r="N10" s="26">
        <v>1222</v>
      </c>
      <c r="O10" s="26">
        <v>1231</v>
      </c>
      <c r="P10" s="26">
        <v>1190</v>
      </c>
      <c r="Q10" s="28">
        <v>1177</v>
      </c>
      <c r="R10" s="28">
        <v>1017</v>
      </c>
      <c r="S10" s="28">
        <v>986</v>
      </c>
    </row>
    <row r="11" spans="2:19" ht="14.25" customHeight="1">
      <c r="B11" s="274" t="s">
        <v>567</v>
      </c>
      <c r="C11" s="33"/>
      <c r="D11" s="31" t="s">
        <v>189</v>
      </c>
      <c r="E11" s="31" t="s">
        <v>189</v>
      </c>
      <c r="F11" s="31" t="s">
        <v>189</v>
      </c>
      <c r="G11" s="31" t="s">
        <v>189</v>
      </c>
      <c r="H11" s="54" t="s">
        <v>152</v>
      </c>
      <c r="I11" s="54" t="s">
        <v>152</v>
      </c>
      <c r="J11" s="55" t="s">
        <v>152</v>
      </c>
      <c r="K11" s="55" t="s">
        <v>152</v>
      </c>
      <c r="L11" s="55" t="s">
        <v>152</v>
      </c>
      <c r="M11" s="55" t="s">
        <v>152</v>
      </c>
      <c r="N11" s="55" t="s">
        <v>152</v>
      </c>
      <c r="O11" s="55" t="s">
        <v>152</v>
      </c>
      <c r="P11" s="55" t="s">
        <v>152</v>
      </c>
      <c r="Q11" s="55" t="s">
        <v>152</v>
      </c>
      <c r="R11" s="55" t="s">
        <v>152</v>
      </c>
      <c r="S11" s="55" t="s">
        <v>152</v>
      </c>
    </row>
    <row r="12" spans="2:19" ht="14.25" customHeight="1">
      <c r="B12" s="33" t="s">
        <v>159</v>
      </c>
      <c r="C12" s="33"/>
      <c r="D12" s="76" t="s">
        <v>189</v>
      </c>
      <c r="E12" s="76" t="s">
        <v>189</v>
      </c>
      <c r="F12" s="76" t="s">
        <v>189</v>
      </c>
      <c r="G12" s="76" t="s">
        <v>189</v>
      </c>
      <c r="H12" s="102">
        <v>1506</v>
      </c>
      <c r="I12" s="102">
        <v>1404</v>
      </c>
      <c r="J12" s="102">
        <v>1273</v>
      </c>
      <c r="K12" s="102">
        <v>1274</v>
      </c>
      <c r="L12" s="26">
        <v>1277</v>
      </c>
      <c r="M12" s="26">
        <v>1165</v>
      </c>
      <c r="N12" s="26">
        <v>1222</v>
      </c>
      <c r="O12" s="26">
        <v>1231</v>
      </c>
      <c r="P12" s="26">
        <v>1190</v>
      </c>
      <c r="Q12" s="28">
        <v>1177</v>
      </c>
      <c r="R12" s="28">
        <v>1017</v>
      </c>
      <c r="S12" s="28">
        <v>986</v>
      </c>
    </row>
    <row r="13" spans="4:19" ht="1.5" customHeight="1">
      <c r="D13" s="31"/>
      <c r="E13" s="28"/>
      <c r="F13"/>
      <c r="G13"/>
      <c r="H13"/>
      <c r="I13" s="75"/>
      <c r="J13" s="75"/>
      <c r="K13" s="75"/>
      <c r="N13" s="25"/>
      <c r="O13" s="25"/>
      <c r="P13" s="25"/>
      <c r="Q13" s="75"/>
      <c r="R13" s="75"/>
      <c r="S13" s="75"/>
    </row>
    <row r="14" spans="2:19" ht="14.25" customHeight="1">
      <c r="B14" s="2" t="s">
        <v>261</v>
      </c>
      <c r="D14" s="31"/>
      <c r="E14" s="28"/>
      <c r="F14"/>
      <c r="G14"/>
      <c r="H14"/>
      <c r="I14" s="75"/>
      <c r="J14" s="75"/>
      <c r="K14" s="75"/>
      <c r="N14" s="25"/>
      <c r="O14" s="25"/>
      <c r="P14" s="25"/>
      <c r="Q14" s="75"/>
      <c r="R14" s="75"/>
      <c r="S14" s="75"/>
    </row>
    <row r="15" spans="2:19" ht="14.25" customHeight="1">
      <c r="B15" s="25" t="s">
        <v>156</v>
      </c>
      <c r="D15" s="31" t="s">
        <v>189</v>
      </c>
      <c r="E15" s="599" t="s">
        <v>152</v>
      </c>
      <c r="F15" s="54" t="s">
        <v>152</v>
      </c>
      <c r="G15" s="54" t="s">
        <v>152</v>
      </c>
      <c r="H15" s="54" t="s">
        <v>152</v>
      </c>
      <c r="I15" s="54" t="s">
        <v>152</v>
      </c>
      <c r="J15" s="55" t="s">
        <v>152</v>
      </c>
      <c r="K15" s="55" t="s">
        <v>152</v>
      </c>
      <c r="L15" s="55" t="s">
        <v>152</v>
      </c>
      <c r="M15" s="55" t="s">
        <v>152</v>
      </c>
      <c r="N15" s="55" t="s">
        <v>152</v>
      </c>
      <c r="O15" s="55" t="s">
        <v>152</v>
      </c>
      <c r="P15" s="55" t="s">
        <v>152</v>
      </c>
      <c r="Q15" s="55" t="s">
        <v>152</v>
      </c>
      <c r="R15" s="55"/>
      <c r="S15" s="55"/>
    </row>
    <row r="16" spans="2:19" ht="14.25" customHeight="1">
      <c r="B16" s="25" t="s">
        <v>157</v>
      </c>
      <c r="D16" s="31" t="s">
        <v>189</v>
      </c>
      <c r="E16" s="599" t="s">
        <v>152</v>
      </c>
      <c r="F16" s="54" t="s">
        <v>152</v>
      </c>
      <c r="G16" s="54" t="s">
        <v>152</v>
      </c>
      <c r="H16" s="54" t="s">
        <v>152</v>
      </c>
      <c r="I16" s="54" t="s">
        <v>152</v>
      </c>
      <c r="J16" s="55" t="s">
        <v>152</v>
      </c>
      <c r="K16" s="55" t="s">
        <v>152</v>
      </c>
      <c r="L16" s="55" t="s">
        <v>152</v>
      </c>
      <c r="M16" s="55" t="s">
        <v>152</v>
      </c>
      <c r="N16" s="55" t="s">
        <v>152</v>
      </c>
      <c r="O16" s="55" t="s">
        <v>152</v>
      </c>
      <c r="P16" s="55" t="s">
        <v>152</v>
      </c>
      <c r="Q16" s="55" t="s">
        <v>152</v>
      </c>
      <c r="R16" s="55"/>
      <c r="S16" s="55"/>
    </row>
    <row r="17" spans="2:19" ht="14.25" customHeight="1">
      <c r="B17" s="25" t="s">
        <v>158</v>
      </c>
      <c r="D17" s="31" t="s">
        <v>189</v>
      </c>
      <c r="E17" s="28">
        <v>2227</v>
      </c>
      <c r="F17" s="49">
        <v>2504</v>
      </c>
      <c r="G17" s="49">
        <v>2437</v>
      </c>
      <c r="H17" s="49">
        <v>2283</v>
      </c>
      <c r="I17" s="49">
        <v>2014</v>
      </c>
      <c r="J17" s="49">
        <v>2099</v>
      </c>
      <c r="K17" s="49">
        <v>2328</v>
      </c>
      <c r="L17" s="26">
        <v>2849</v>
      </c>
      <c r="M17" s="26">
        <v>3274</v>
      </c>
      <c r="N17" s="26">
        <v>3145</v>
      </c>
      <c r="O17" s="26">
        <v>3163</v>
      </c>
      <c r="P17" s="26">
        <v>2928</v>
      </c>
      <c r="Q17" s="28">
        <v>2572</v>
      </c>
      <c r="R17" s="28">
        <v>2632</v>
      </c>
      <c r="S17" s="28">
        <v>2932</v>
      </c>
    </row>
    <row r="18" spans="2:19" ht="14.25" customHeight="1">
      <c r="B18" s="274" t="s">
        <v>567</v>
      </c>
      <c r="D18" s="31" t="s">
        <v>189</v>
      </c>
      <c r="E18" s="599" t="s">
        <v>152</v>
      </c>
      <c r="F18" s="54" t="s">
        <v>152</v>
      </c>
      <c r="G18" s="54" t="s">
        <v>152</v>
      </c>
      <c r="H18" s="54" t="s">
        <v>152</v>
      </c>
      <c r="I18" s="54" t="s">
        <v>152</v>
      </c>
      <c r="J18" s="55" t="s">
        <v>152</v>
      </c>
      <c r="K18" s="55" t="s">
        <v>152</v>
      </c>
      <c r="L18" s="55" t="s">
        <v>152</v>
      </c>
      <c r="M18" s="55" t="s">
        <v>152</v>
      </c>
      <c r="N18" s="55" t="s">
        <v>152</v>
      </c>
      <c r="O18" s="55" t="s">
        <v>152</v>
      </c>
      <c r="P18" s="55" t="s">
        <v>152</v>
      </c>
      <c r="Q18" s="55" t="s">
        <v>152</v>
      </c>
      <c r="R18" s="55">
        <v>3</v>
      </c>
      <c r="S18" s="55" t="s">
        <v>152</v>
      </c>
    </row>
    <row r="19" spans="2:19" ht="14.25" customHeight="1">
      <c r="B19" s="25" t="s">
        <v>159</v>
      </c>
      <c r="D19" s="31" t="s">
        <v>189</v>
      </c>
      <c r="E19" s="28">
        <v>2227</v>
      </c>
      <c r="F19" s="49">
        <v>2504</v>
      </c>
      <c r="G19" s="49">
        <v>2437</v>
      </c>
      <c r="H19" s="49">
        <v>2283</v>
      </c>
      <c r="I19" s="49">
        <v>2014</v>
      </c>
      <c r="J19" s="49">
        <v>2099</v>
      </c>
      <c r="K19" s="49">
        <v>2328</v>
      </c>
      <c r="L19" s="26">
        <v>2849</v>
      </c>
      <c r="M19" s="26">
        <v>3274</v>
      </c>
      <c r="N19" s="26">
        <v>3145</v>
      </c>
      <c r="O19" s="26">
        <v>3163</v>
      </c>
      <c r="P19" s="26">
        <v>2928</v>
      </c>
      <c r="Q19" s="28">
        <v>2572</v>
      </c>
      <c r="R19" s="28">
        <v>2634</v>
      </c>
      <c r="S19" s="28">
        <v>2632</v>
      </c>
    </row>
    <row r="20" spans="3:19" ht="1.5" customHeight="1">
      <c r="C20" s="33"/>
      <c r="D20" s="37"/>
      <c r="E20" s="37"/>
      <c r="F20" s="28"/>
      <c r="G20" s="28"/>
      <c r="H20"/>
      <c r="I20" s="75"/>
      <c r="J20" s="75"/>
      <c r="K20" s="75"/>
      <c r="N20" s="25"/>
      <c r="O20" s="25"/>
      <c r="P20" s="25"/>
      <c r="Q20" s="75"/>
      <c r="R20" s="75"/>
      <c r="S20" s="75"/>
    </row>
    <row r="21" spans="2:19" ht="14.25" customHeight="1">
      <c r="B21" s="2" t="s">
        <v>143</v>
      </c>
      <c r="D21" s="31"/>
      <c r="E21" s="28"/>
      <c r="F21" s="28"/>
      <c r="G21" s="28"/>
      <c r="H21"/>
      <c r="I21" s="75"/>
      <c r="J21" s="75"/>
      <c r="K21" s="75"/>
      <c r="N21" s="25"/>
      <c r="O21" s="25"/>
      <c r="P21" s="25"/>
      <c r="Q21" s="75"/>
      <c r="R21" s="75"/>
      <c r="S21" s="75"/>
    </row>
    <row r="22" spans="2:19" ht="14.25" customHeight="1">
      <c r="B22" s="25" t="s">
        <v>156</v>
      </c>
      <c r="D22" s="31">
        <v>2966</v>
      </c>
      <c r="E22" s="28">
        <v>3093</v>
      </c>
      <c r="F22" s="49">
        <v>2276</v>
      </c>
      <c r="G22" s="49">
        <v>2434</v>
      </c>
      <c r="H22" s="49">
        <v>1780</v>
      </c>
      <c r="I22" s="49">
        <v>2673</v>
      </c>
      <c r="J22" s="49">
        <v>3191</v>
      </c>
      <c r="K22" s="49">
        <v>3112</v>
      </c>
      <c r="L22" s="26">
        <v>3494</v>
      </c>
      <c r="M22" s="26">
        <v>3473</v>
      </c>
      <c r="N22" s="26">
        <v>3626</v>
      </c>
      <c r="O22" s="26">
        <v>3568</v>
      </c>
      <c r="P22" s="26">
        <v>5149</v>
      </c>
      <c r="Q22" s="28">
        <v>4685</v>
      </c>
      <c r="R22" s="28">
        <v>4853</v>
      </c>
      <c r="S22" s="28">
        <v>5124</v>
      </c>
    </row>
    <row r="23" spans="2:19" ht="14.25" customHeight="1">
      <c r="B23" s="25" t="s">
        <v>157</v>
      </c>
      <c r="D23" s="31">
        <v>3474</v>
      </c>
      <c r="E23" s="28">
        <v>3563</v>
      </c>
      <c r="F23" s="49">
        <v>5233</v>
      </c>
      <c r="G23" s="49">
        <v>5441</v>
      </c>
      <c r="H23" s="49">
        <v>4333</v>
      </c>
      <c r="I23" s="49">
        <v>7451</v>
      </c>
      <c r="J23" s="49">
        <v>5661</v>
      </c>
      <c r="K23" s="49">
        <v>5072</v>
      </c>
      <c r="L23" s="26">
        <v>6872</v>
      </c>
      <c r="M23" s="26">
        <v>11334</v>
      </c>
      <c r="N23" s="26">
        <v>10397</v>
      </c>
      <c r="O23" s="26">
        <v>7249</v>
      </c>
      <c r="P23" s="26">
        <v>8095</v>
      </c>
      <c r="Q23" s="28">
        <v>6904</v>
      </c>
      <c r="R23" s="28">
        <v>6793</v>
      </c>
      <c r="S23" s="28">
        <v>7564</v>
      </c>
    </row>
    <row r="24" spans="2:19" ht="14.25" customHeight="1">
      <c r="B24" s="25" t="s">
        <v>158</v>
      </c>
      <c r="D24" s="31">
        <v>656</v>
      </c>
      <c r="E24" s="28">
        <v>729</v>
      </c>
      <c r="F24" s="49">
        <v>533</v>
      </c>
      <c r="G24" s="49">
        <v>530</v>
      </c>
      <c r="H24" s="49">
        <v>878</v>
      </c>
      <c r="I24" s="49">
        <v>534</v>
      </c>
      <c r="J24" s="49">
        <v>346</v>
      </c>
      <c r="K24" s="49">
        <v>426</v>
      </c>
      <c r="L24" s="49">
        <v>406</v>
      </c>
      <c r="M24" s="49">
        <v>370</v>
      </c>
      <c r="N24" s="49">
        <v>398</v>
      </c>
      <c r="O24" s="26">
        <v>469</v>
      </c>
      <c r="P24" s="26">
        <v>439</v>
      </c>
      <c r="Q24" s="28">
        <v>447</v>
      </c>
      <c r="R24" s="28">
        <v>509</v>
      </c>
      <c r="S24" s="28">
        <v>599</v>
      </c>
    </row>
    <row r="25" spans="2:20" ht="14.25" customHeight="1">
      <c r="B25" s="274" t="s">
        <v>567</v>
      </c>
      <c r="D25" s="31">
        <v>104</v>
      </c>
      <c r="E25" s="28">
        <f>94+15</f>
        <v>109</v>
      </c>
      <c r="F25" s="49">
        <v>86</v>
      </c>
      <c r="G25" s="49">
        <v>90</v>
      </c>
      <c r="H25" s="49">
        <v>233</v>
      </c>
      <c r="I25" s="49">
        <v>411</v>
      </c>
      <c r="J25" s="49">
        <v>534</v>
      </c>
      <c r="K25" s="49">
        <v>604</v>
      </c>
      <c r="L25" s="49">
        <v>736</v>
      </c>
      <c r="M25" s="49">
        <v>560</v>
      </c>
      <c r="N25" s="49">
        <v>560</v>
      </c>
      <c r="O25" s="26">
        <v>777</v>
      </c>
      <c r="P25" s="26">
        <v>654</v>
      </c>
      <c r="Q25" s="28">
        <v>516</v>
      </c>
      <c r="R25" s="28">
        <v>128</v>
      </c>
      <c r="S25" s="28">
        <v>144</v>
      </c>
      <c r="T25" s="26"/>
    </row>
    <row r="26" spans="2:20" ht="14.25" customHeight="1">
      <c r="B26" s="25" t="s">
        <v>159</v>
      </c>
      <c r="D26" s="599">
        <v>7200</v>
      </c>
      <c r="E26" s="28">
        <v>7494</v>
      </c>
      <c r="F26" s="49">
        <v>8127</v>
      </c>
      <c r="G26" s="49">
        <v>8495</v>
      </c>
      <c r="H26" s="49">
        <v>7224</v>
      </c>
      <c r="I26" s="49">
        <v>11069</v>
      </c>
      <c r="J26" s="49">
        <v>9733</v>
      </c>
      <c r="K26" s="49">
        <v>9214</v>
      </c>
      <c r="L26" s="26">
        <v>11507</v>
      </c>
      <c r="M26" s="26">
        <v>15737</v>
      </c>
      <c r="N26" s="26">
        <v>14981</v>
      </c>
      <c r="O26" s="26">
        <v>12063</v>
      </c>
      <c r="P26" s="26">
        <v>14338</v>
      </c>
      <c r="Q26" s="28">
        <v>12552</v>
      </c>
      <c r="R26" s="28">
        <v>12283</v>
      </c>
      <c r="S26" s="28">
        <v>13431</v>
      </c>
      <c r="T26" s="26"/>
    </row>
    <row r="27" spans="4:19" ht="1.5" customHeight="1">
      <c r="D27" s="599"/>
      <c r="E27" s="28"/>
      <c r="F27" s="28"/>
      <c r="G27" s="28"/>
      <c r="H27" s="49"/>
      <c r="I27" s="49"/>
      <c r="J27" s="49"/>
      <c r="K27" s="49"/>
      <c r="N27" s="25"/>
      <c r="O27" s="25"/>
      <c r="P27" s="25"/>
      <c r="Q27" s="75"/>
      <c r="R27" s="75"/>
      <c r="S27" s="75"/>
    </row>
    <row r="28" spans="2:19" ht="14.25" customHeight="1">
      <c r="B28" s="2" t="s">
        <v>151</v>
      </c>
      <c r="D28" s="31"/>
      <c r="E28" s="28"/>
      <c r="F28" s="28"/>
      <c r="G28" s="28"/>
      <c r="H28" s="49"/>
      <c r="I28" s="49"/>
      <c r="J28" s="49"/>
      <c r="K28" s="49"/>
      <c r="N28" s="25"/>
      <c r="O28" s="25"/>
      <c r="P28" s="25"/>
      <c r="Q28" s="75"/>
      <c r="R28" s="75"/>
      <c r="S28" s="75"/>
    </row>
    <row r="29" spans="2:19" ht="14.25" customHeight="1">
      <c r="B29" s="25" t="s">
        <v>156</v>
      </c>
      <c r="D29" s="599" t="s">
        <v>152</v>
      </c>
      <c r="E29" s="32" t="s">
        <v>152</v>
      </c>
      <c r="F29" s="54" t="s">
        <v>152</v>
      </c>
      <c r="G29" s="54" t="s">
        <v>152</v>
      </c>
      <c r="H29" s="54" t="s">
        <v>152</v>
      </c>
      <c r="I29" s="54">
        <v>1</v>
      </c>
      <c r="J29" s="54">
        <v>4</v>
      </c>
      <c r="K29" s="55">
        <v>3</v>
      </c>
      <c r="L29" s="55">
        <v>1</v>
      </c>
      <c r="M29" s="55" t="s">
        <v>152</v>
      </c>
      <c r="N29" s="55" t="s">
        <v>152</v>
      </c>
      <c r="O29" s="55" t="s">
        <v>152</v>
      </c>
      <c r="P29" s="55" t="s">
        <v>152</v>
      </c>
      <c r="Q29" s="55" t="s">
        <v>152</v>
      </c>
      <c r="R29" s="55" t="s">
        <v>152</v>
      </c>
      <c r="S29" s="55" t="s">
        <v>152</v>
      </c>
    </row>
    <row r="30" spans="2:19" ht="14.25" customHeight="1">
      <c r="B30" s="25" t="s">
        <v>157</v>
      </c>
      <c r="D30" s="31">
        <v>4486</v>
      </c>
      <c r="E30" s="32">
        <v>4401</v>
      </c>
      <c r="F30" s="49">
        <v>5140</v>
      </c>
      <c r="G30" s="49">
        <v>5217</v>
      </c>
      <c r="H30" s="49">
        <v>5899</v>
      </c>
      <c r="I30" s="49">
        <v>5470</v>
      </c>
      <c r="J30" s="49">
        <v>5842</v>
      </c>
      <c r="K30" s="49">
        <v>5319</v>
      </c>
      <c r="L30" s="26">
        <v>5188</v>
      </c>
      <c r="M30" s="26">
        <v>5439</v>
      </c>
      <c r="N30" s="26">
        <v>6004</v>
      </c>
      <c r="O30" s="55">
        <v>7050</v>
      </c>
      <c r="P30" s="55">
        <v>6336</v>
      </c>
      <c r="Q30" s="55">
        <v>5591</v>
      </c>
      <c r="R30" s="55">
        <v>5846</v>
      </c>
      <c r="S30" s="55">
        <v>6060</v>
      </c>
    </row>
    <row r="31" spans="2:19" ht="14.25" customHeight="1">
      <c r="B31" s="25" t="s">
        <v>158</v>
      </c>
      <c r="D31" s="599" t="s">
        <v>152</v>
      </c>
      <c r="E31" s="32" t="s">
        <v>152</v>
      </c>
      <c r="F31" s="54" t="s">
        <v>152</v>
      </c>
      <c r="G31" s="54" t="s">
        <v>152</v>
      </c>
      <c r="H31" s="54" t="s">
        <v>152</v>
      </c>
      <c r="I31" s="54" t="s">
        <v>152</v>
      </c>
      <c r="J31" s="55" t="s">
        <v>152</v>
      </c>
      <c r="K31" s="55" t="s">
        <v>152</v>
      </c>
      <c r="L31" s="55" t="s">
        <v>152</v>
      </c>
      <c r="M31" s="55" t="s">
        <v>152</v>
      </c>
      <c r="N31" s="55" t="s">
        <v>152</v>
      </c>
      <c r="O31" s="55" t="s">
        <v>152</v>
      </c>
      <c r="P31" s="55" t="s">
        <v>152</v>
      </c>
      <c r="Q31" s="55" t="s">
        <v>152</v>
      </c>
      <c r="R31" s="55" t="s">
        <v>152</v>
      </c>
      <c r="S31" s="55" t="s">
        <v>152</v>
      </c>
    </row>
    <row r="32" spans="2:19" ht="14.25" customHeight="1">
      <c r="B32" s="274" t="s">
        <v>567</v>
      </c>
      <c r="D32" s="599" t="s">
        <v>152</v>
      </c>
      <c r="E32" s="32" t="s">
        <v>152</v>
      </c>
      <c r="F32" s="54" t="s">
        <v>152</v>
      </c>
      <c r="G32" s="54" t="s">
        <v>152</v>
      </c>
      <c r="H32" s="54" t="s">
        <v>152</v>
      </c>
      <c r="I32" s="54" t="s">
        <v>152</v>
      </c>
      <c r="J32" s="55" t="s">
        <v>152</v>
      </c>
      <c r="K32" s="55" t="s">
        <v>152</v>
      </c>
      <c r="L32" s="55" t="s">
        <v>152</v>
      </c>
      <c r="M32" s="55" t="s">
        <v>152</v>
      </c>
      <c r="N32" s="55" t="s">
        <v>152</v>
      </c>
      <c r="O32" s="55" t="s">
        <v>152</v>
      </c>
      <c r="P32" s="55" t="s">
        <v>152</v>
      </c>
      <c r="Q32" s="55" t="s">
        <v>152</v>
      </c>
      <c r="R32" s="55" t="s">
        <v>152</v>
      </c>
      <c r="S32" s="55" t="s">
        <v>152</v>
      </c>
    </row>
    <row r="33" spans="2:19" ht="14.25" customHeight="1">
      <c r="B33" s="25" t="s">
        <v>159</v>
      </c>
      <c r="D33" s="31">
        <v>4486</v>
      </c>
      <c r="E33" s="68">
        <v>4401</v>
      </c>
      <c r="F33" s="49">
        <v>5140</v>
      </c>
      <c r="G33" s="49">
        <v>5217</v>
      </c>
      <c r="H33" s="49">
        <v>5899</v>
      </c>
      <c r="I33" s="49">
        <v>5471</v>
      </c>
      <c r="J33" s="49">
        <v>5846</v>
      </c>
      <c r="K33" s="49">
        <v>5322</v>
      </c>
      <c r="L33" s="26">
        <v>5189</v>
      </c>
      <c r="M33" s="26">
        <v>5439</v>
      </c>
      <c r="N33" s="26">
        <v>6004</v>
      </c>
      <c r="O33" s="55">
        <v>7050</v>
      </c>
      <c r="P33" s="55">
        <v>6336</v>
      </c>
      <c r="Q33" s="55">
        <v>5591</v>
      </c>
      <c r="R33" s="55">
        <v>5846</v>
      </c>
      <c r="S33" s="55">
        <v>6060</v>
      </c>
    </row>
    <row r="34" spans="2:19" ht="1.5" customHeight="1">
      <c r="B34" s="33"/>
      <c r="C34" s="33"/>
      <c r="D34" s="37"/>
      <c r="E34" s="37"/>
      <c r="F34" s="600"/>
      <c r="G34" s="600"/>
      <c r="H34" s="49"/>
      <c r="I34" s="49"/>
      <c r="J34" s="49"/>
      <c r="K34" s="49"/>
      <c r="N34" s="25"/>
      <c r="O34" s="25"/>
      <c r="P34" s="25"/>
      <c r="Q34" s="75"/>
      <c r="R34" s="75"/>
      <c r="S34" s="75"/>
    </row>
    <row r="35" spans="1:19" ht="14.25" customHeight="1">
      <c r="A35" s="2" t="s">
        <v>277</v>
      </c>
      <c r="B35" s="33"/>
      <c r="C35" s="33"/>
      <c r="D35" s="31"/>
      <c r="E35" s="28"/>
      <c r="F35" s="28"/>
      <c r="G35" s="28"/>
      <c r="H35" s="49"/>
      <c r="I35" s="49"/>
      <c r="J35" s="49"/>
      <c r="K35" s="49"/>
      <c r="N35" s="25"/>
      <c r="O35" s="25"/>
      <c r="P35" s="25"/>
      <c r="Q35" s="75"/>
      <c r="R35" s="75"/>
      <c r="S35" s="75"/>
    </row>
    <row r="36" spans="2:19" ht="1.5" customHeight="1">
      <c r="B36" s="33"/>
      <c r="C36" s="33"/>
      <c r="I36" s="49"/>
      <c r="J36" s="49"/>
      <c r="K36" s="49"/>
      <c r="N36" s="25"/>
      <c r="O36" s="25"/>
      <c r="P36" s="25"/>
      <c r="Q36" s="75"/>
      <c r="R36" s="75"/>
      <c r="S36" s="75"/>
    </row>
    <row r="37" spans="2:19" ht="14.25" customHeight="1">
      <c r="B37" s="2" t="s">
        <v>147</v>
      </c>
      <c r="I37" s="49"/>
      <c r="J37" s="49"/>
      <c r="K37" s="49"/>
      <c r="N37" s="25"/>
      <c r="O37" s="25"/>
      <c r="P37" s="25"/>
      <c r="Q37" s="75"/>
      <c r="R37" s="75"/>
      <c r="S37" s="75"/>
    </row>
    <row r="38" spans="2:19" ht="14.25" customHeight="1">
      <c r="B38" s="25" t="s">
        <v>156</v>
      </c>
      <c r="D38" s="31">
        <v>11239</v>
      </c>
      <c r="E38" s="28">
        <v>10243</v>
      </c>
      <c r="F38" s="49">
        <v>15965</v>
      </c>
      <c r="G38" s="49">
        <v>16792</v>
      </c>
      <c r="H38" s="49">
        <v>22623</v>
      </c>
      <c r="I38" s="49">
        <v>18213</v>
      </c>
      <c r="J38" s="49">
        <v>18588</v>
      </c>
      <c r="K38" s="49">
        <v>14299</v>
      </c>
      <c r="L38" s="26">
        <v>17775</v>
      </c>
      <c r="M38" s="26">
        <v>14375</v>
      </c>
      <c r="N38" s="26">
        <v>11100</v>
      </c>
      <c r="O38" s="26">
        <v>10413</v>
      </c>
      <c r="P38" s="26">
        <v>4594</v>
      </c>
      <c r="Q38" s="28">
        <v>3026</v>
      </c>
      <c r="R38" s="28">
        <v>2998</v>
      </c>
      <c r="S38" s="28">
        <v>2095</v>
      </c>
    </row>
    <row r="39" spans="2:19" ht="14.25" customHeight="1">
      <c r="B39" s="25" t="s">
        <v>157</v>
      </c>
      <c r="D39" s="31">
        <v>13</v>
      </c>
      <c r="E39" s="28">
        <v>13</v>
      </c>
      <c r="F39" s="49">
        <v>12</v>
      </c>
      <c r="G39" s="49">
        <v>16</v>
      </c>
      <c r="H39" s="49">
        <v>54</v>
      </c>
      <c r="I39" s="49">
        <v>58</v>
      </c>
      <c r="J39" s="49">
        <v>55</v>
      </c>
      <c r="K39" s="49">
        <v>18</v>
      </c>
      <c r="L39" s="49">
        <v>20</v>
      </c>
      <c r="M39" s="49">
        <v>15</v>
      </c>
      <c r="N39" s="49">
        <v>12</v>
      </c>
      <c r="O39" s="26">
        <v>10</v>
      </c>
      <c r="P39" s="26">
        <v>6</v>
      </c>
      <c r="Q39" s="28">
        <v>12</v>
      </c>
      <c r="R39" s="28">
        <v>20</v>
      </c>
      <c r="S39" s="28">
        <v>25</v>
      </c>
    </row>
    <row r="40" spans="2:19" ht="14.25" customHeight="1">
      <c r="B40" s="25" t="s">
        <v>158</v>
      </c>
      <c r="D40" s="31">
        <v>103</v>
      </c>
      <c r="E40" s="28">
        <v>146</v>
      </c>
      <c r="F40" s="49">
        <v>102</v>
      </c>
      <c r="G40" s="49">
        <v>106</v>
      </c>
      <c r="H40" s="49">
        <v>100</v>
      </c>
      <c r="I40" s="49">
        <v>87</v>
      </c>
      <c r="J40" s="49">
        <v>131</v>
      </c>
      <c r="K40" s="49">
        <v>70</v>
      </c>
      <c r="L40" s="49">
        <v>116</v>
      </c>
      <c r="M40" s="49">
        <v>115</v>
      </c>
      <c r="N40" s="49">
        <v>115</v>
      </c>
      <c r="O40" s="26">
        <v>153</v>
      </c>
      <c r="P40" s="26">
        <v>161</v>
      </c>
      <c r="Q40" s="28">
        <v>181</v>
      </c>
      <c r="R40" s="28">
        <v>213</v>
      </c>
      <c r="S40" s="28">
        <v>211</v>
      </c>
    </row>
    <row r="41" spans="2:20" ht="14.25" customHeight="1">
      <c r="B41" s="274" t="s">
        <v>567</v>
      </c>
      <c r="D41" s="31">
        <v>44</v>
      </c>
      <c r="E41" s="28">
        <v>31</v>
      </c>
      <c r="F41" s="49">
        <v>23</v>
      </c>
      <c r="G41" s="49">
        <v>28</v>
      </c>
      <c r="H41" s="49">
        <v>21</v>
      </c>
      <c r="I41" s="49">
        <v>48</v>
      </c>
      <c r="J41" s="49">
        <v>38</v>
      </c>
      <c r="K41" s="49">
        <v>35</v>
      </c>
      <c r="L41" s="49">
        <v>23</v>
      </c>
      <c r="M41" s="49">
        <v>29</v>
      </c>
      <c r="N41" s="49">
        <v>21</v>
      </c>
      <c r="O41" s="26">
        <v>16</v>
      </c>
      <c r="P41" s="26">
        <v>29</v>
      </c>
      <c r="Q41" s="28">
        <v>21</v>
      </c>
      <c r="R41" s="28">
        <v>14</v>
      </c>
      <c r="S41" s="28">
        <v>13</v>
      </c>
      <c r="T41" s="26"/>
    </row>
    <row r="42" spans="2:20" ht="14.25" customHeight="1">
      <c r="B42" s="25" t="s">
        <v>159</v>
      </c>
      <c r="D42" s="31">
        <v>11448</v>
      </c>
      <c r="E42" s="28">
        <v>10483</v>
      </c>
      <c r="F42" s="49">
        <v>16156</v>
      </c>
      <c r="G42" s="49">
        <v>16998</v>
      </c>
      <c r="H42" s="49">
        <v>22798</v>
      </c>
      <c r="I42" s="49">
        <v>18407</v>
      </c>
      <c r="J42" s="49">
        <v>18812</v>
      </c>
      <c r="K42" s="49">
        <v>14422</v>
      </c>
      <c r="L42" s="26">
        <f>SUM(L38:L41)</f>
        <v>17934</v>
      </c>
      <c r="M42" s="26">
        <v>14534</v>
      </c>
      <c r="N42" s="26">
        <v>11249</v>
      </c>
      <c r="O42" s="26">
        <v>10592</v>
      </c>
      <c r="P42" s="26">
        <v>4789</v>
      </c>
      <c r="Q42" s="28">
        <v>3241</v>
      </c>
      <c r="R42" s="28">
        <v>3244</v>
      </c>
      <c r="S42" s="28">
        <v>2344</v>
      </c>
      <c r="T42" s="26"/>
    </row>
    <row r="43" spans="4:19" ht="1.5" customHeight="1">
      <c r="D43" s="31"/>
      <c r="E43" s="28"/>
      <c r="F43" s="28"/>
      <c r="G43" s="28"/>
      <c r="H43" s="49"/>
      <c r="I43" s="49"/>
      <c r="J43" s="49"/>
      <c r="K43" s="49"/>
      <c r="N43" s="25"/>
      <c r="O43" s="25"/>
      <c r="P43" s="25"/>
      <c r="Q43" s="75"/>
      <c r="R43" s="75"/>
      <c r="S43" s="75"/>
    </row>
    <row r="44" spans="2:19" ht="14.25" customHeight="1">
      <c r="B44" s="2" t="s">
        <v>149</v>
      </c>
      <c r="D44" s="31"/>
      <c r="E44" s="28"/>
      <c r="F44" s="28"/>
      <c r="G44" s="28"/>
      <c r="H44" s="49"/>
      <c r="I44" s="49"/>
      <c r="J44" s="49"/>
      <c r="K44" s="49"/>
      <c r="N44" s="25"/>
      <c r="O44" s="25"/>
      <c r="P44" s="25"/>
      <c r="Q44" s="75"/>
      <c r="R44" s="75"/>
      <c r="S44" s="75"/>
    </row>
    <row r="45" spans="2:19" ht="14.25" customHeight="1">
      <c r="B45" s="25" t="s">
        <v>156</v>
      </c>
      <c r="D45" s="31">
        <v>38139</v>
      </c>
      <c r="E45" s="28">
        <v>32035</v>
      </c>
      <c r="F45" s="49">
        <v>31055</v>
      </c>
      <c r="G45" s="49">
        <v>37643</v>
      </c>
      <c r="H45" s="49">
        <v>38204</v>
      </c>
      <c r="I45" s="49">
        <v>31166</v>
      </c>
      <c r="J45" s="49">
        <v>29376</v>
      </c>
      <c r="K45" s="49">
        <v>26360</v>
      </c>
      <c r="L45" s="26">
        <v>23939</v>
      </c>
      <c r="M45" s="26">
        <v>20494</v>
      </c>
      <c r="N45" s="26">
        <v>19417</v>
      </c>
      <c r="O45" s="26">
        <v>16537</v>
      </c>
      <c r="P45" s="26">
        <v>14507</v>
      </c>
      <c r="Q45" s="28">
        <v>11217</v>
      </c>
      <c r="R45" s="28">
        <v>11202</v>
      </c>
      <c r="S45" s="28">
        <v>10134</v>
      </c>
    </row>
    <row r="46" spans="2:19" ht="14.25" customHeight="1">
      <c r="B46" s="25" t="s">
        <v>157</v>
      </c>
      <c r="D46" s="31">
        <v>20</v>
      </c>
      <c r="E46" s="28">
        <v>44</v>
      </c>
      <c r="F46" s="49">
        <v>53</v>
      </c>
      <c r="G46" s="49">
        <v>36</v>
      </c>
      <c r="H46" s="54" t="s">
        <v>152</v>
      </c>
      <c r="I46" s="54" t="s">
        <v>152</v>
      </c>
      <c r="J46" s="55" t="s">
        <v>152</v>
      </c>
      <c r="K46" s="55" t="s">
        <v>152</v>
      </c>
      <c r="L46" s="55" t="s">
        <v>152</v>
      </c>
      <c r="M46" s="55" t="s">
        <v>152</v>
      </c>
      <c r="N46" s="55" t="s">
        <v>152</v>
      </c>
      <c r="O46" s="55" t="s">
        <v>152</v>
      </c>
      <c r="P46" s="55" t="s">
        <v>152</v>
      </c>
      <c r="Q46" s="55" t="s">
        <v>152</v>
      </c>
      <c r="R46" s="55">
        <v>69</v>
      </c>
      <c r="S46" s="55">
        <v>12</v>
      </c>
    </row>
    <row r="47" spans="2:19" ht="14.25" customHeight="1">
      <c r="B47" s="25" t="s">
        <v>158</v>
      </c>
      <c r="D47" s="599" t="s">
        <v>152</v>
      </c>
      <c r="E47" s="32" t="s">
        <v>152</v>
      </c>
      <c r="F47" s="54" t="s">
        <v>152</v>
      </c>
      <c r="G47" s="54" t="s">
        <v>152</v>
      </c>
      <c r="H47" s="54" t="s">
        <v>152</v>
      </c>
      <c r="I47" s="54" t="s">
        <v>152</v>
      </c>
      <c r="J47" s="55" t="s">
        <v>152</v>
      </c>
      <c r="K47" s="55" t="s">
        <v>152</v>
      </c>
      <c r="L47" s="55" t="s">
        <v>152</v>
      </c>
      <c r="M47" s="55" t="s">
        <v>152</v>
      </c>
      <c r="N47" s="55" t="s">
        <v>152</v>
      </c>
      <c r="O47" s="55" t="s">
        <v>152</v>
      </c>
      <c r="P47" s="55" t="s">
        <v>152</v>
      </c>
      <c r="Q47" s="55" t="s">
        <v>152</v>
      </c>
      <c r="R47" s="55" t="s">
        <v>152</v>
      </c>
      <c r="S47" s="55" t="s">
        <v>152</v>
      </c>
    </row>
    <row r="48" spans="2:19" ht="14.25" customHeight="1">
      <c r="B48" s="274" t="s">
        <v>567</v>
      </c>
      <c r="D48" s="31">
        <v>2</v>
      </c>
      <c r="E48" s="32">
        <v>2</v>
      </c>
      <c r="F48" s="54">
        <v>1</v>
      </c>
      <c r="G48" s="54">
        <v>1</v>
      </c>
      <c r="H48" s="54" t="s">
        <v>152</v>
      </c>
      <c r="I48" s="54" t="s">
        <v>152</v>
      </c>
      <c r="J48" s="55" t="s">
        <v>152</v>
      </c>
      <c r="K48" s="55" t="s">
        <v>152</v>
      </c>
      <c r="L48" s="55" t="s">
        <v>152</v>
      </c>
      <c r="M48" s="55">
        <v>47</v>
      </c>
      <c r="N48" s="55">
        <v>30</v>
      </c>
      <c r="O48" s="26">
        <v>36</v>
      </c>
      <c r="P48" s="26">
        <v>32</v>
      </c>
      <c r="Q48" s="55" t="s">
        <v>152</v>
      </c>
      <c r="R48" s="55" t="s">
        <v>152</v>
      </c>
      <c r="S48" s="55">
        <v>7</v>
      </c>
    </row>
    <row r="49" spans="2:20" ht="14.25" customHeight="1">
      <c r="B49" s="33" t="s">
        <v>159</v>
      </c>
      <c r="C49" s="33"/>
      <c r="D49" s="76">
        <v>38162</v>
      </c>
      <c r="E49" s="601">
        <v>32082</v>
      </c>
      <c r="F49" s="49">
        <v>31109</v>
      </c>
      <c r="G49" s="49">
        <v>37680</v>
      </c>
      <c r="H49" s="49">
        <v>38204</v>
      </c>
      <c r="I49" s="49">
        <v>31166</v>
      </c>
      <c r="J49" s="49">
        <v>29376</v>
      </c>
      <c r="K49" s="49">
        <v>26360</v>
      </c>
      <c r="L49" s="26">
        <v>23939</v>
      </c>
      <c r="M49" s="26">
        <v>20541</v>
      </c>
      <c r="N49" s="26">
        <v>19447</v>
      </c>
      <c r="O49" s="26">
        <v>16573</v>
      </c>
      <c r="P49" s="26">
        <v>14539</v>
      </c>
      <c r="Q49" s="28">
        <v>11217</v>
      </c>
      <c r="R49" s="28">
        <v>11270</v>
      </c>
      <c r="S49" s="28">
        <v>10153</v>
      </c>
      <c r="T49" s="26"/>
    </row>
    <row r="50" spans="4:19" ht="1.5" customHeight="1">
      <c r="D50" s="31"/>
      <c r="E50" s="28"/>
      <c r="F50" s="28"/>
      <c r="G50" s="28"/>
      <c r="H50" s="49"/>
      <c r="I50" s="49"/>
      <c r="J50" s="49"/>
      <c r="K50" s="49"/>
      <c r="N50" s="25"/>
      <c r="O50" s="25"/>
      <c r="P50" s="25"/>
      <c r="Q50" s="75"/>
      <c r="R50" s="75"/>
      <c r="S50" s="75"/>
    </row>
    <row r="51" spans="2:19" ht="14.25" customHeight="1">
      <c r="B51" s="2" t="s">
        <v>150</v>
      </c>
      <c r="D51" s="31"/>
      <c r="E51" s="28"/>
      <c r="F51" s="28"/>
      <c r="G51" s="28"/>
      <c r="H51" s="49"/>
      <c r="I51" s="49"/>
      <c r="J51" s="49"/>
      <c r="K51" s="49"/>
      <c r="N51" s="25"/>
      <c r="O51" s="25"/>
      <c r="P51" s="25"/>
      <c r="Q51" s="75"/>
      <c r="R51" s="75"/>
      <c r="S51" s="75"/>
    </row>
    <row r="52" spans="2:19" ht="14.25" customHeight="1">
      <c r="B52" s="25" t="s">
        <v>156</v>
      </c>
      <c r="D52" s="31">
        <v>4136</v>
      </c>
      <c r="E52" s="28">
        <v>3773</v>
      </c>
      <c r="F52" s="49">
        <v>4210</v>
      </c>
      <c r="G52" s="49">
        <v>2074</v>
      </c>
      <c r="H52" s="49">
        <v>2116</v>
      </c>
      <c r="I52" s="49">
        <v>1920</v>
      </c>
      <c r="J52" s="49">
        <v>2424</v>
      </c>
      <c r="K52" s="49">
        <v>3321</v>
      </c>
      <c r="L52" s="26">
        <v>2974</v>
      </c>
      <c r="M52" s="26">
        <v>3156</v>
      </c>
      <c r="N52" s="26">
        <v>3026</v>
      </c>
      <c r="O52" s="26">
        <v>3336</v>
      </c>
      <c r="P52" s="26">
        <v>2100</v>
      </c>
      <c r="Q52" s="28">
        <v>2727</v>
      </c>
      <c r="R52" s="28">
        <v>3460</v>
      </c>
      <c r="S52" s="28">
        <v>3821</v>
      </c>
    </row>
    <row r="53" spans="2:19" ht="14.25" customHeight="1">
      <c r="B53" s="25" t="s">
        <v>157</v>
      </c>
      <c r="D53" s="31">
        <v>66</v>
      </c>
      <c r="E53" s="28">
        <v>94</v>
      </c>
      <c r="F53" s="49">
        <v>122</v>
      </c>
      <c r="G53" s="49">
        <v>133</v>
      </c>
      <c r="H53" s="49">
        <v>119</v>
      </c>
      <c r="I53" s="49">
        <v>115</v>
      </c>
      <c r="J53" s="49">
        <v>168</v>
      </c>
      <c r="K53" s="49">
        <v>110</v>
      </c>
      <c r="L53" s="49">
        <v>116</v>
      </c>
      <c r="M53" s="49">
        <v>86</v>
      </c>
      <c r="N53" s="49">
        <v>79</v>
      </c>
      <c r="O53" s="49">
        <v>70</v>
      </c>
      <c r="P53" s="49">
        <v>70</v>
      </c>
      <c r="Q53" s="49">
        <v>73</v>
      </c>
      <c r="R53" s="49">
        <v>125</v>
      </c>
      <c r="S53" s="49">
        <v>159</v>
      </c>
    </row>
    <row r="54" spans="2:19" ht="14.25" customHeight="1">
      <c r="B54" s="25" t="s">
        <v>158</v>
      </c>
      <c r="D54" s="31">
        <v>38</v>
      </c>
      <c r="E54" s="28">
        <v>40</v>
      </c>
      <c r="F54" s="49">
        <v>44</v>
      </c>
      <c r="G54" s="49">
        <v>46</v>
      </c>
      <c r="H54" s="49">
        <v>33</v>
      </c>
      <c r="I54" s="49">
        <v>14</v>
      </c>
      <c r="J54" s="55" t="s">
        <v>152</v>
      </c>
      <c r="K54" s="55" t="s">
        <v>152</v>
      </c>
      <c r="L54" s="55" t="s">
        <v>152</v>
      </c>
      <c r="M54" s="55" t="s">
        <v>152</v>
      </c>
      <c r="N54" s="55" t="s">
        <v>152</v>
      </c>
      <c r="O54" s="55" t="s">
        <v>152</v>
      </c>
      <c r="P54" s="55" t="s">
        <v>152</v>
      </c>
      <c r="Q54" s="55" t="s">
        <v>152</v>
      </c>
      <c r="R54" s="55" t="s">
        <v>152</v>
      </c>
      <c r="S54" s="55" t="s">
        <v>152</v>
      </c>
    </row>
    <row r="55" spans="2:19" ht="14.25" customHeight="1">
      <c r="B55" s="274" t="s">
        <v>567</v>
      </c>
      <c r="D55" s="31">
        <v>89</v>
      </c>
      <c r="E55" s="28">
        <v>63</v>
      </c>
      <c r="F55" s="49">
        <v>79</v>
      </c>
      <c r="G55" s="49">
        <v>83</v>
      </c>
      <c r="H55" s="49">
        <v>61</v>
      </c>
      <c r="I55" s="49">
        <v>96</v>
      </c>
      <c r="J55" s="49">
        <v>67</v>
      </c>
      <c r="K55" s="49">
        <v>70</v>
      </c>
      <c r="L55" s="49">
        <v>118</v>
      </c>
      <c r="M55" s="49">
        <v>84</v>
      </c>
      <c r="N55" s="49">
        <v>101</v>
      </c>
      <c r="O55" s="49">
        <v>97</v>
      </c>
      <c r="P55" s="49">
        <v>81</v>
      </c>
      <c r="Q55" s="49">
        <v>64</v>
      </c>
      <c r="R55" s="49">
        <v>78</v>
      </c>
      <c r="S55" s="49">
        <v>41</v>
      </c>
    </row>
    <row r="56" spans="2:20" ht="14.25" customHeight="1">
      <c r="B56" s="25" t="s">
        <v>159</v>
      </c>
      <c r="D56" s="31">
        <v>4328</v>
      </c>
      <c r="E56" s="28">
        <v>3971</v>
      </c>
      <c r="F56" s="49">
        <v>4456</v>
      </c>
      <c r="G56" s="49">
        <v>2336</v>
      </c>
      <c r="H56" s="49">
        <v>2329</v>
      </c>
      <c r="I56" s="49">
        <v>2145</v>
      </c>
      <c r="J56" s="49">
        <v>2658</v>
      </c>
      <c r="K56" s="49">
        <v>3501</v>
      </c>
      <c r="L56" s="26">
        <v>3208</v>
      </c>
      <c r="M56" s="26">
        <v>3325</v>
      </c>
      <c r="N56" s="26">
        <v>3206</v>
      </c>
      <c r="O56" s="26">
        <v>3502</v>
      </c>
      <c r="P56" s="26">
        <v>2252</v>
      </c>
      <c r="Q56" s="28">
        <v>2864</v>
      </c>
      <c r="R56" s="28">
        <v>3663</v>
      </c>
      <c r="S56" s="28">
        <v>4020</v>
      </c>
      <c r="T56" s="26"/>
    </row>
    <row r="57" spans="4:19" ht="1.5" customHeight="1">
      <c r="D57" s="31"/>
      <c r="E57" s="28"/>
      <c r="F57" s="28"/>
      <c r="G57"/>
      <c r="H57" s="49"/>
      <c r="I57" s="49"/>
      <c r="J57" s="49"/>
      <c r="K57" s="49"/>
      <c r="N57" s="25"/>
      <c r="O57" s="25"/>
      <c r="P57" s="25"/>
      <c r="Q57" s="75"/>
      <c r="R57" s="75"/>
      <c r="S57" s="75"/>
    </row>
    <row r="58" spans="2:19" ht="14.25" customHeight="1">
      <c r="B58" s="2" t="s">
        <v>304</v>
      </c>
      <c r="D58" s="31"/>
      <c r="E58" s="31"/>
      <c r="F58" s="31"/>
      <c r="G58" s="31"/>
      <c r="H58" s="31"/>
      <c r="I58" s="32"/>
      <c r="J58" s="32"/>
      <c r="K58" s="32"/>
      <c r="N58" s="25"/>
      <c r="O58" s="25"/>
      <c r="P58" s="25"/>
      <c r="Q58" s="75"/>
      <c r="R58" s="75"/>
      <c r="S58" s="75"/>
    </row>
    <row r="59" spans="2:19" ht="14.25" customHeight="1">
      <c r="B59" s="25" t="s">
        <v>156</v>
      </c>
      <c r="D59" s="31" t="s">
        <v>189</v>
      </c>
      <c r="E59" s="31" t="s">
        <v>189</v>
      </c>
      <c r="F59" s="31" t="s">
        <v>189</v>
      </c>
      <c r="G59" s="28">
        <v>444</v>
      </c>
      <c r="H59" s="49">
        <v>568</v>
      </c>
      <c r="I59" s="49">
        <v>723</v>
      </c>
      <c r="J59" s="49">
        <v>735</v>
      </c>
      <c r="K59" s="49">
        <v>522</v>
      </c>
      <c r="L59" s="49">
        <v>298</v>
      </c>
      <c r="M59" s="49">
        <v>503</v>
      </c>
      <c r="N59" s="49">
        <v>532</v>
      </c>
      <c r="O59" s="49">
        <v>377</v>
      </c>
      <c r="P59" s="49">
        <v>440</v>
      </c>
      <c r="Q59" s="49">
        <v>377</v>
      </c>
      <c r="R59" s="49">
        <v>453</v>
      </c>
      <c r="S59" s="49">
        <v>390</v>
      </c>
    </row>
    <row r="60" spans="2:19" ht="14.25" customHeight="1">
      <c r="B60" s="25" t="s">
        <v>157</v>
      </c>
      <c r="D60" s="31" t="s">
        <v>189</v>
      </c>
      <c r="E60" s="31" t="s">
        <v>189</v>
      </c>
      <c r="F60" s="31" t="s">
        <v>189</v>
      </c>
      <c r="G60" s="28">
        <v>122</v>
      </c>
      <c r="H60" s="49">
        <v>151</v>
      </c>
      <c r="I60" s="49">
        <v>164</v>
      </c>
      <c r="J60" s="49">
        <v>179</v>
      </c>
      <c r="K60" s="49">
        <v>196</v>
      </c>
      <c r="L60" s="49">
        <v>145</v>
      </c>
      <c r="M60" s="49">
        <v>140</v>
      </c>
      <c r="N60" s="49">
        <v>102</v>
      </c>
      <c r="O60" s="49">
        <v>73</v>
      </c>
      <c r="P60" s="49">
        <v>101</v>
      </c>
      <c r="Q60" s="49">
        <v>88</v>
      </c>
      <c r="R60" s="49">
        <v>144</v>
      </c>
      <c r="S60" s="49">
        <v>158</v>
      </c>
    </row>
    <row r="61" spans="2:19" ht="14.25" customHeight="1">
      <c r="B61" s="25" t="s">
        <v>158</v>
      </c>
      <c r="D61" s="31" t="s">
        <v>189</v>
      </c>
      <c r="E61" s="31" t="s">
        <v>189</v>
      </c>
      <c r="F61" s="31" t="s">
        <v>189</v>
      </c>
      <c r="G61" s="54" t="s">
        <v>152</v>
      </c>
      <c r="H61" s="54" t="s">
        <v>152</v>
      </c>
      <c r="I61" s="54" t="s">
        <v>152</v>
      </c>
      <c r="J61" s="55" t="s">
        <v>152</v>
      </c>
      <c r="K61" s="55" t="s">
        <v>152</v>
      </c>
      <c r="L61" s="55" t="s">
        <v>152</v>
      </c>
      <c r="M61" s="55" t="s">
        <v>152</v>
      </c>
      <c r="N61" s="55" t="s">
        <v>152</v>
      </c>
      <c r="O61" s="55" t="s">
        <v>152</v>
      </c>
      <c r="P61" s="55" t="s">
        <v>152</v>
      </c>
      <c r="Q61" s="55" t="s">
        <v>152</v>
      </c>
      <c r="R61" s="55" t="s">
        <v>152</v>
      </c>
      <c r="S61" s="55" t="s">
        <v>152</v>
      </c>
    </row>
    <row r="62" spans="2:19" ht="14.25" customHeight="1">
      <c r="B62" s="274" t="s">
        <v>567</v>
      </c>
      <c r="D62" s="31" t="s">
        <v>189</v>
      </c>
      <c r="E62" s="31" t="s">
        <v>189</v>
      </c>
      <c r="F62" s="31" t="s">
        <v>189</v>
      </c>
      <c r="G62" s="54">
        <v>1644</v>
      </c>
      <c r="H62" s="54">
        <v>404</v>
      </c>
      <c r="I62" s="54">
        <v>452</v>
      </c>
      <c r="J62" s="54">
        <v>429</v>
      </c>
      <c r="K62" s="55">
        <v>333</v>
      </c>
      <c r="L62" s="55">
        <v>233</v>
      </c>
      <c r="M62" s="55">
        <v>286</v>
      </c>
      <c r="N62" s="55">
        <v>313</v>
      </c>
      <c r="O62" s="55">
        <v>340</v>
      </c>
      <c r="P62" s="55">
        <v>331</v>
      </c>
      <c r="Q62" s="55">
        <v>331</v>
      </c>
      <c r="R62" s="55">
        <v>510</v>
      </c>
      <c r="S62" s="55">
        <v>506</v>
      </c>
    </row>
    <row r="63" spans="2:20" ht="14.25" customHeight="1">
      <c r="B63" s="25" t="s">
        <v>159</v>
      </c>
      <c r="D63" s="31" t="s">
        <v>189</v>
      </c>
      <c r="E63" s="31" t="s">
        <v>189</v>
      </c>
      <c r="F63" s="31" t="s">
        <v>189</v>
      </c>
      <c r="G63" s="28">
        <v>2209</v>
      </c>
      <c r="H63" s="49">
        <v>1123</v>
      </c>
      <c r="I63" s="49">
        <v>1339</v>
      </c>
      <c r="J63" s="49">
        <v>1343</v>
      </c>
      <c r="K63" s="49">
        <v>1050</v>
      </c>
      <c r="L63" s="49">
        <v>676</v>
      </c>
      <c r="M63" s="49">
        <v>928</v>
      </c>
      <c r="N63" s="49">
        <v>947</v>
      </c>
      <c r="O63" s="49">
        <v>790</v>
      </c>
      <c r="P63" s="49">
        <v>871</v>
      </c>
      <c r="Q63" s="49">
        <v>797</v>
      </c>
      <c r="R63" s="49">
        <v>1107</v>
      </c>
      <c r="S63" s="49">
        <v>1054</v>
      </c>
      <c r="T63" s="26"/>
    </row>
    <row r="64" spans="4:19" ht="1.5" customHeight="1">
      <c r="D64" s="31"/>
      <c r="E64" s="28"/>
      <c r="F64" s="28"/>
      <c r="G64" s="28"/>
      <c r="H64" s="49"/>
      <c r="I64" s="49"/>
      <c r="J64" s="49"/>
      <c r="K64" s="49"/>
      <c r="N64" s="25"/>
      <c r="O64" s="25"/>
      <c r="P64" s="25"/>
      <c r="Q64" s="75"/>
      <c r="R64" s="75"/>
      <c r="S64" s="75"/>
    </row>
    <row r="65" spans="2:19" ht="14.25" customHeight="1">
      <c r="B65" s="2" t="s">
        <v>153</v>
      </c>
      <c r="D65"/>
      <c r="E65"/>
      <c r="F65" s="28"/>
      <c r="G65"/>
      <c r="H65" s="49"/>
      <c r="I65" s="49"/>
      <c r="J65" s="49"/>
      <c r="K65" s="49"/>
      <c r="N65" s="25"/>
      <c r="O65" s="25"/>
      <c r="P65" s="25"/>
      <c r="Q65" s="75"/>
      <c r="R65" s="75"/>
      <c r="S65" s="75"/>
    </row>
    <row r="66" spans="2:19" ht="14.25" customHeight="1">
      <c r="B66" s="25" t="s">
        <v>156</v>
      </c>
      <c r="D66" s="31">
        <v>932</v>
      </c>
      <c r="E66" s="28">
        <v>888</v>
      </c>
      <c r="F66" s="49">
        <v>870</v>
      </c>
      <c r="G66" s="49">
        <v>988</v>
      </c>
      <c r="H66" s="49">
        <v>1572</v>
      </c>
      <c r="I66" s="49">
        <v>1801</v>
      </c>
      <c r="J66" s="49">
        <v>1720</v>
      </c>
      <c r="K66" s="49">
        <v>1615</v>
      </c>
      <c r="L66" s="26">
        <v>1962</v>
      </c>
      <c r="M66" s="26">
        <v>2073</v>
      </c>
      <c r="N66" s="26">
        <v>2209</v>
      </c>
      <c r="O66" s="26">
        <v>2214</v>
      </c>
      <c r="P66" s="26">
        <v>2184</v>
      </c>
      <c r="Q66" s="28">
        <v>2065</v>
      </c>
      <c r="R66" s="28">
        <v>1957</v>
      </c>
      <c r="S66" s="28">
        <v>1922</v>
      </c>
    </row>
    <row r="67" spans="2:19" ht="14.25" customHeight="1">
      <c r="B67" s="25" t="s">
        <v>157</v>
      </c>
      <c r="D67" s="31">
        <v>359</v>
      </c>
      <c r="E67" s="28">
        <v>350</v>
      </c>
      <c r="F67" s="49">
        <v>402</v>
      </c>
      <c r="G67" s="49">
        <v>346</v>
      </c>
      <c r="H67" s="49">
        <v>322</v>
      </c>
      <c r="I67" s="49">
        <v>380</v>
      </c>
      <c r="J67" s="49">
        <v>295</v>
      </c>
      <c r="K67" s="49">
        <v>269</v>
      </c>
      <c r="L67" s="49">
        <v>330</v>
      </c>
      <c r="M67" s="49">
        <v>394</v>
      </c>
      <c r="N67" s="49">
        <v>373</v>
      </c>
      <c r="O67" s="49">
        <v>371</v>
      </c>
      <c r="P67" s="49">
        <v>308</v>
      </c>
      <c r="Q67" s="49">
        <v>331</v>
      </c>
      <c r="R67" s="49">
        <v>549</v>
      </c>
      <c r="S67" s="49">
        <v>606</v>
      </c>
    </row>
    <row r="68" spans="2:19" ht="14.25" customHeight="1">
      <c r="B68" s="25" t="s">
        <v>158</v>
      </c>
      <c r="D68" s="31">
        <v>74</v>
      </c>
      <c r="E68" s="28">
        <v>77</v>
      </c>
      <c r="F68" s="49">
        <v>92</v>
      </c>
      <c r="G68" s="49">
        <v>89</v>
      </c>
      <c r="H68" s="49">
        <v>110</v>
      </c>
      <c r="I68" s="49">
        <v>239</v>
      </c>
      <c r="J68" s="49">
        <v>262</v>
      </c>
      <c r="K68" s="49">
        <v>272</v>
      </c>
      <c r="L68" s="49">
        <v>309</v>
      </c>
      <c r="M68" s="49">
        <v>354</v>
      </c>
      <c r="N68" s="49">
        <v>317</v>
      </c>
      <c r="O68" s="49">
        <v>334</v>
      </c>
      <c r="P68" s="49">
        <v>355</v>
      </c>
      <c r="Q68" s="49">
        <v>345</v>
      </c>
      <c r="R68" s="49">
        <v>365</v>
      </c>
      <c r="S68" s="49">
        <v>405</v>
      </c>
    </row>
    <row r="69" spans="2:20" ht="14.25" customHeight="1">
      <c r="B69" s="274" t="s">
        <v>567</v>
      </c>
      <c r="D69" s="31">
        <v>2628</v>
      </c>
      <c r="E69" s="31">
        <v>2698</v>
      </c>
      <c r="F69" s="31">
        <v>2423</v>
      </c>
      <c r="G69" s="31">
        <v>1945</v>
      </c>
      <c r="H69" s="49">
        <v>1373</v>
      </c>
      <c r="I69" s="49">
        <v>1426</v>
      </c>
      <c r="J69" s="49">
        <v>1368</v>
      </c>
      <c r="K69" s="49">
        <v>1077</v>
      </c>
      <c r="L69" s="26">
        <v>1287</v>
      </c>
      <c r="M69" s="26">
        <v>1790</v>
      </c>
      <c r="N69" s="26">
        <v>1765</v>
      </c>
      <c r="O69" s="26">
        <v>2213</v>
      </c>
      <c r="P69" s="26">
        <v>1986</v>
      </c>
      <c r="Q69" s="28">
        <v>1829</v>
      </c>
      <c r="R69" s="28">
        <v>1293</v>
      </c>
      <c r="S69" s="28">
        <v>1231</v>
      </c>
      <c r="T69" s="26"/>
    </row>
    <row r="70" spans="2:20" ht="14.25" customHeight="1">
      <c r="B70" s="25" t="s">
        <v>159</v>
      </c>
      <c r="D70" s="31">
        <v>3992</v>
      </c>
      <c r="E70" s="28">
        <v>4013</v>
      </c>
      <c r="F70" s="49">
        <v>3786</v>
      </c>
      <c r="G70" s="49">
        <v>3368</v>
      </c>
      <c r="H70" s="49">
        <v>3377</v>
      </c>
      <c r="I70" s="49">
        <v>3845</v>
      </c>
      <c r="J70" s="49">
        <v>3645</v>
      </c>
      <c r="K70" s="49">
        <v>3233</v>
      </c>
      <c r="L70" s="49">
        <v>3888</v>
      </c>
      <c r="M70" s="49">
        <v>4609</v>
      </c>
      <c r="N70" s="49">
        <v>4663</v>
      </c>
      <c r="O70" s="49">
        <v>5131</v>
      </c>
      <c r="P70" s="49">
        <v>4833</v>
      </c>
      <c r="Q70" s="49">
        <v>4570</v>
      </c>
      <c r="R70" s="49">
        <v>4164</v>
      </c>
      <c r="S70" s="49">
        <v>4165</v>
      </c>
      <c r="T70" s="26"/>
    </row>
    <row r="71" spans="4:19" ht="1.5" customHeight="1">
      <c r="D71" s="602"/>
      <c r="E71" s="602"/>
      <c r="F71" s="28"/>
      <c r="G71" s="28"/>
      <c r="H71" s="49"/>
      <c r="I71" s="49"/>
      <c r="J71" s="49"/>
      <c r="K71" s="49"/>
      <c r="N71" s="25"/>
      <c r="O71" s="25" t="s">
        <v>292</v>
      </c>
      <c r="P71" s="25" t="s">
        <v>292</v>
      </c>
      <c r="Q71" s="75" t="s">
        <v>292</v>
      </c>
      <c r="R71" s="75"/>
      <c r="S71" s="75"/>
    </row>
    <row r="72" spans="2:19" ht="14.25" customHeight="1">
      <c r="B72" s="2" t="s">
        <v>328</v>
      </c>
      <c r="C72" s="33"/>
      <c r="D72" s="31" t="s">
        <v>189</v>
      </c>
      <c r="E72" s="31" t="s">
        <v>189</v>
      </c>
      <c r="F72" s="31" t="s">
        <v>189</v>
      </c>
      <c r="G72" s="31" t="s">
        <v>189</v>
      </c>
      <c r="H72" s="138"/>
      <c r="I72" s="138"/>
      <c r="J72" s="138"/>
      <c r="K72" s="138"/>
      <c r="N72" s="25"/>
      <c r="O72" s="25"/>
      <c r="P72" s="25"/>
      <c r="Q72" s="75"/>
      <c r="R72" s="75"/>
      <c r="S72" s="75"/>
    </row>
    <row r="73" spans="2:19" ht="14.25" customHeight="1">
      <c r="B73" s="25" t="s">
        <v>156</v>
      </c>
      <c r="C73" s="33"/>
      <c r="D73" s="31" t="s">
        <v>189</v>
      </c>
      <c r="E73" s="31" t="s">
        <v>189</v>
      </c>
      <c r="F73" s="31" t="s">
        <v>189</v>
      </c>
      <c r="G73" s="31" t="s">
        <v>189</v>
      </c>
      <c r="H73" s="102">
        <v>411</v>
      </c>
      <c r="I73" s="102">
        <v>493</v>
      </c>
      <c r="J73" s="125">
        <v>512</v>
      </c>
      <c r="K73" s="125">
        <v>477</v>
      </c>
      <c r="L73" s="25">
        <v>494</v>
      </c>
      <c r="M73" s="25">
        <v>664</v>
      </c>
      <c r="N73" s="25">
        <v>594</v>
      </c>
      <c r="O73" s="25">
        <v>530</v>
      </c>
      <c r="P73" s="25">
        <v>501</v>
      </c>
      <c r="Q73" s="75">
        <v>451</v>
      </c>
      <c r="R73" s="75">
        <v>493</v>
      </c>
      <c r="S73" s="75">
        <v>571</v>
      </c>
    </row>
    <row r="74" spans="2:19" ht="14.25" customHeight="1">
      <c r="B74" s="25" t="s">
        <v>157</v>
      </c>
      <c r="C74" s="33"/>
      <c r="D74" s="31" t="s">
        <v>189</v>
      </c>
      <c r="E74" s="31" t="s">
        <v>189</v>
      </c>
      <c r="F74" s="31" t="s">
        <v>189</v>
      </c>
      <c r="G74" s="31" t="s">
        <v>189</v>
      </c>
      <c r="H74" s="102">
        <v>294</v>
      </c>
      <c r="I74" s="102">
        <v>282</v>
      </c>
      <c r="J74" s="102">
        <v>358</v>
      </c>
      <c r="K74" s="102">
        <v>315</v>
      </c>
      <c r="L74" s="102">
        <v>352</v>
      </c>
      <c r="M74" s="102">
        <v>335</v>
      </c>
      <c r="N74" s="102">
        <v>317</v>
      </c>
      <c r="O74" s="102">
        <v>333</v>
      </c>
      <c r="P74" s="102">
        <v>373</v>
      </c>
      <c r="Q74" s="102">
        <v>300</v>
      </c>
      <c r="R74" s="102">
        <v>412</v>
      </c>
      <c r="S74" s="102">
        <v>277</v>
      </c>
    </row>
    <row r="75" spans="2:19" ht="14.25" customHeight="1">
      <c r="B75" s="25" t="s">
        <v>158</v>
      </c>
      <c r="C75" s="33"/>
      <c r="D75" s="31" t="s">
        <v>189</v>
      </c>
      <c r="E75" s="31" t="s">
        <v>189</v>
      </c>
      <c r="F75" s="31" t="s">
        <v>189</v>
      </c>
      <c r="G75" s="31" t="s">
        <v>189</v>
      </c>
      <c r="H75" s="54" t="s">
        <v>152</v>
      </c>
      <c r="I75" s="54" t="s">
        <v>152</v>
      </c>
      <c r="J75" s="55" t="s">
        <v>152</v>
      </c>
      <c r="K75" s="55" t="s">
        <v>152</v>
      </c>
      <c r="L75" s="55" t="s">
        <v>152</v>
      </c>
      <c r="M75" s="55" t="s">
        <v>152</v>
      </c>
      <c r="N75" s="55" t="s">
        <v>152</v>
      </c>
      <c r="O75" s="55" t="s">
        <v>152</v>
      </c>
      <c r="P75" s="55" t="s">
        <v>152</v>
      </c>
      <c r="Q75" s="55" t="s">
        <v>152</v>
      </c>
      <c r="R75" s="55" t="s">
        <v>152</v>
      </c>
      <c r="S75" s="55" t="s">
        <v>152</v>
      </c>
    </row>
    <row r="76" spans="2:19" ht="14.25" customHeight="1">
      <c r="B76" s="274" t="s">
        <v>567</v>
      </c>
      <c r="C76" s="33"/>
      <c r="D76" s="31" t="s">
        <v>189</v>
      </c>
      <c r="E76" s="31" t="s">
        <v>189</v>
      </c>
      <c r="F76" s="31" t="s">
        <v>189</v>
      </c>
      <c r="G76" s="31" t="s">
        <v>189</v>
      </c>
      <c r="H76" s="89">
        <v>342</v>
      </c>
      <c r="I76" s="74">
        <v>326</v>
      </c>
      <c r="J76" s="74">
        <v>233</v>
      </c>
      <c r="K76" s="74">
        <v>225</v>
      </c>
      <c r="L76" s="74">
        <v>212</v>
      </c>
      <c r="M76" s="74">
        <v>223</v>
      </c>
      <c r="N76" s="74">
        <v>291</v>
      </c>
      <c r="O76" s="74">
        <v>172</v>
      </c>
      <c r="P76" s="74">
        <v>104</v>
      </c>
      <c r="Q76" s="74">
        <v>59</v>
      </c>
      <c r="R76" s="74">
        <v>57</v>
      </c>
      <c r="S76" s="74">
        <v>81</v>
      </c>
    </row>
    <row r="77" spans="2:20" ht="14.25" customHeight="1">
      <c r="B77" s="33" t="s">
        <v>159</v>
      </c>
      <c r="C77" s="33"/>
      <c r="D77" s="76" t="s">
        <v>189</v>
      </c>
      <c r="E77" s="76" t="s">
        <v>189</v>
      </c>
      <c r="F77" s="76" t="s">
        <v>189</v>
      </c>
      <c r="G77" s="76" t="s">
        <v>189</v>
      </c>
      <c r="H77" s="102">
        <v>1047</v>
      </c>
      <c r="I77" s="102">
        <v>1101</v>
      </c>
      <c r="J77" s="102">
        <v>1103</v>
      </c>
      <c r="K77" s="102">
        <v>1016</v>
      </c>
      <c r="L77" s="26">
        <v>1058</v>
      </c>
      <c r="M77" s="26">
        <v>1222</v>
      </c>
      <c r="N77" s="26">
        <v>1202</v>
      </c>
      <c r="O77" s="26">
        <v>1035</v>
      </c>
      <c r="P77" s="26">
        <v>978</v>
      </c>
      <c r="Q77" s="28">
        <v>810</v>
      </c>
      <c r="R77" s="28">
        <v>962</v>
      </c>
      <c r="S77" s="28">
        <v>929</v>
      </c>
      <c r="T77" s="26"/>
    </row>
    <row r="78" spans="2:19" ht="1.5" customHeight="1">
      <c r="B78" s="2"/>
      <c r="D78" s="31"/>
      <c r="E78" s="28"/>
      <c r="F78" s="28"/>
      <c r="G78" s="28"/>
      <c r="H78" s="49"/>
      <c r="I78" s="49"/>
      <c r="J78" s="49"/>
      <c r="K78" s="49"/>
      <c r="N78" s="25"/>
      <c r="O78" s="25"/>
      <c r="P78" s="25"/>
      <c r="Q78" s="75"/>
      <c r="R78" s="75"/>
      <c r="S78" s="75"/>
    </row>
    <row r="79" spans="2:19" ht="14.25" customHeight="1">
      <c r="B79" s="2" t="s">
        <v>154</v>
      </c>
      <c r="D79" s="31"/>
      <c r="E79" s="28"/>
      <c r="F79" s="28"/>
      <c r="G79" s="28"/>
      <c r="H79" s="49"/>
      <c r="I79" s="49"/>
      <c r="J79" s="49"/>
      <c r="K79" s="49"/>
      <c r="N79" s="25"/>
      <c r="O79" s="25"/>
      <c r="P79" s="25"/>
      <c r="Q79" s="75"/>
      <c r="R79" s="75"/>
      <c r="S79" s="75"/>
    </row>
    <row r="80" spans="2:19" ht="14.25" customHeight="1">
      <c r="B80" s="25" t="s">
        <v>156</v>
      </c>
      <c r="D80" s="31">
        <v>42705</v>
      </c>
      <c r="E80" s="28">
        <v>39915</v>
      </c>
      <c r="F80" s="49">
        <v>40351</v>
      </c>
      <c r="G80" s="49">
        <v>42583</v>
      </c>
      <c r="H80" s="49">
        <v>38790</v>
      </c>
      <c r="I80" s="49">
        <v>38444</v>
      </c>
      <c r="J80" s="49">
        <v>38240</v>
      </c>
      <c r="K80" s="49">
        <v>34297</v>
      </c>
      <c r="L80" s="26">
        <v>30756</v>
      </c>
      <c r="M80" s="26">
        <v>29090</v>
      </c>
      <c r="N80" s="26">
        <v>26220</v>
      </c>
      <c r="O80" s="26">
        <v>31578</v>
      </c>
      <c r="P80" s="26">
        <v>33941</v>
      </c>
      <c r="Q80" s="28">
        <v>31913</v>
      </c>
      <c r="R80" s="28">
        <v>29432</v>
      </c>
      <c r="S80" s="28">
        <v>23353</v>
      </c>
    </row>
    <row r="81" spans="2:19" ht="14.25" customHeight="1">
      <c r="B81" s="25" t="s">
        <v>157</v>
      </c>
      <c r="D81" s="31">
        <v>1222</v>
      </c>
      <c r="E81" s="28">
        <v>1221</v>
      </c>
      <c r="F81" s="49">
        <v>1473</v>
      </c>
      <c r="G81" s="49">
        <v>1270</v>
      </c>
      <c r="H81" s="49">
        <v>1137</v>
      </c>
      <c r="I81" s="49">
        <v>1221</v>
      </c>
      <c r="J81" s="49">
        <v>1182</v>
      </c>
      <c r="K81" s="49">
        <v>1418</v>
      </c>
      <c r="L81" s="49">
        <v>980</v>
      </c>
      <c r="M81" s="49">
        <v>1596</v>
      </c>
      <c r="N81" s="49">
        <v>2264</v>
      </c>
      <c r="O81" s="49">
        <v>2051</v>
      </c>
      <c r="P81" s="49">
        <v>1994</v>
      </c>
      <c r="Q81" s="49">
        <v>1840</v>
      </c>
      <c r="R81" s="49">
        <v>1904</v>
      </c>
      <c r="S81" s="49">
        <v>1392</v>
      </c>
    </row>
    <row r="82" spans="2:19" ht="14.25" customHeight="1">
      <c r="B82" s="25" t="s">
        <v>158</v>
      </c>
      <c r="D82" s="31">
        <v>860</v>
      </c>
      <c r="E82" s="28">
        <v>943</v>
      </c>
      <c r="F82" s="49">
        <v>903</v>
      </c>
      <c r="G82" s="49">
        <v>990</v>
      </c>
      <c r="H82" s="49">
        <v>606</v>
      </c>
      <c r="I82" s="49">
        <v>835</v>
      </c>
      <c r="J82" s="49">
        <v>1688</v>
      </c>
      <c r="K82" s="49">
        <v>2078</v>
      </c>
      <c r="L82" s="26">
        <v>2388</v>
      </c>
      <c r="M82" s="26">
        <v>2361</v>
      </c>
      <c r="N82" s="26">
        <v>2407</v>
      </c>
      <c r="O82" s="26">
        <v>2582</v>
      </c>
      <c r="P82" s="26">
        <v>2627</v>
      </c>
      <c r="Q82" s="28">
        <v>2494</v>
      </c>
      <c r="R82" s="28">
        <v>2751</v>
      </c>
      <c r="S82" s="28">
        <v>2666</v>
      </c>
    </row>
    <row r="83" spans="2:19" ht="14.25" customHeight="1">
      <c r="B83" s="274" t="s">
        <v>567</v>
      </c>
      <c r="D83" s="31">
        <v>796</v>
      </c>
      <c r="E83" s="31">
        <v>1023</v>
      </c>
      <c r="F83" s="31">
        <v>1674</v>
      </c>
      <c r="G83" s="31">
        <v>554</v>
      </c>
      <c r="H83" s="49">
        <v>610</v>
      </c>
      <c r="I83" s="49">
        <v>1107</v>
      </c>
      <c r="J83" s="49">
        <v>1091</v>
      </c>
      <c r="K83" s="49">
        <v>958</v>
      </c>
      <c r="L83" s="49">
        <v>769</v>
      </c>
      <c r="M83" s="49">
        <v>1171</v>
      </c>
      <c r="N83" s="49">
        <v>663</v>
      </c>
      <c r="O83" s="49">
        <v>470</v>
      </c>
      <c r="P83" s="49">
        <v>492</v>
      </c>
      <c r="Q83" s="49">
        <v>442</v>
      </c>
      <c r="R83" s="49">
        <v>249</v>
      </c>
      <c r="S83" s="49">
        <v>466</v>
      </c>
    </row>
    <row r="84" spans="1:20" ht="14.25" customHeight="1" thickBot="1">
      <c r="A84" s="269"/>
      <c r="B84" s="269" t="s">
        <v>159</v>
      </c>
      <c r="C84" s="269"/>
      <c r="D84" s="603">
        <v>45583</v>
      </c>
      <c r="E84" s="30">
        <v>43102</v>
      </c>
      <c r="F84" s="596">
        <v>44400</v>
      </c>
      <c r="G84" s="596">
        <v>45396</v>
      </c>
      <c r="H84" s="596">
        <v>41143</v>
      </c>
      <c r="I84" s="268">
        <v>41607</v>
      </c>
      <c r="J84" s="268">
        <v>42202</v>
      </c>
      <c r="K84" s="268">
        <v>38752</v>
      </c>
      <c r="L84" s="268">
        <v>34892</v>
      </c>
      <c r="M84" s="268">
        <v>34218</v>
      </c>
      <c r="N84" s="268">
        <v>31556</v>
      </c>
      <c r="O84" s="268">
        <v>36681</v>
      </c>
      <c r="P84" s="268">
        <v>39054</v>
      </c>
      <c r="Q84" s="268">
        <v>36690</v>
      </c>
      <c r="R84" s="268">
        <v>34335</v>
      </c>
      <c r="S84" s="268">
        <v>27878</v>
      </c>
      <c r="T84" s="26"/>
    </row>
    <row r="85" spans="1:16" s="5" customFormat="1" ht="14.25" customHeight="1">
      <c r="A85" s="11"/>
      <c r="B85" s="5" t="s">
        <v>305</v>
      </c>
      <c r="C85" s="11"/>
      <c r="D85" s="11"/>
      <c r="E85" s="11"/>
      <c r="F85" s="11"/>
      <c r="G85" s="11"/>
      <c r="H85" s="11"/>
      <c r="I85" s="277"/>
      <c r="J85" s="278"/>
      <c r="K85" s="279"/>
      <c r="L85" s="279"/>
      <c r="M85" s="280"/>
      <c r="N85" s="280"/>
      <c r="O85" s="280"/>
      <c r="P85" s="280"/>
    </row>
    <row r="86" spans="2:16" s="5" customFormat="1" ht="12.75" customHeight="1">
      <c r="B86" s="5" t="s">
        <v>327</v>
      </c>
      <c r="I86" s="281"/>
      <c r="N86" s="205"/>
      <c r="O86" s="205"/>
      <c r="P86" s="205"/>
    </row>
    <row r="87" ht="3.75" customHeight="1">
      <c r="I87" s="176"/>
    </row>
    <row r="88" spans="10:12" ht="78.75" customHeight="1">
      <c r="J88" s="111" t="s">
        <v>335</v>
      </c>
      <c r="K88" s="111" t="s">
        <v>335</v>
      </c>
      <c r="L88" s="111" t="s">
        <v>335</v>
      </c>
    </row>
  </sheetData>
  <sheetProtection/>
  <printOptions/>
  <pageMargins left="0.7480314960629921" right="0.7480314960629921" top="0.5905511811023623" bottom="0.31496062992125984" header="0.31496062992125984" footer="0.15748031496062992"/>
  <pageSetup fitToHeight="1" fitToWidth="1" horizontalDpi="300" verticalDpi="300" orientation="portrait" paperSize="9" scale="63" r:id="rId1"/>
  <headerFooter alignWithMargins="0">
    <oddHeader>&amp;R&amp;"Arial,Bold"&amp;16WATER TRANSPORT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25" customWidth="1"/>
    <col min="2" max="4" width="11.7109375" style="25" customWidth="1"/>
    <col min="5" max="5" width="2.57421875" style="25" customWidth="1"/>
    <col min="6" max="6" width="12.7109375" style="25" customWidth="1"/>
    <col min="7" max="8" width="11.7109375" style="25" customWidth="1"/>
    <col min="9" max="9" width="12.7109375" style="25" customWidth="1"/>
    <col min="10" max="10" width="2.00390625" style="25" customWidth="1"/>
    <col min="11" max="16384" width="9.140625" style="25" customWidth="1"/>
  </cols>
  <sheetData>
    <row r="1" spans="1:10" ht="16.5">
      <c r="A1" s="533" t="s">
        <v>670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 thickBot="1">
      <c r="A2" s="127" t="s">
        <v>335</v>
      </c>
      <c r="B2" s="24"/>
      <c r="C2" s="24"/>
      <c r="D2" s="24"/>
      <c r="E2" s="24"/>
      <c r="F2" s="24"/>
      <c r="G2" s="24"/>
      <c r="H2" s="24"/>
      <c r="I2" s="24"/>
      <c r="J2" s="33"/>
    </row>
    <row r="3" spans="1:10" ht="21" customHeight="1" thickBot="1">
      <c r="A3" s="33"/>
      <c r="B3" s="698" t="s">
        <v>161</v>
      </c>
      <c r="C3" s="699"/>
      <c r="D3" s="699"/>
      <c r="E3" s="528"/>
      <c r="F3" s="698" t="s">
        <v>162</v>
      </c>
      <c r="G3" s="699"/>
      <c r="H3" s="699"/>
      <c r="I3" s="529" t="s">
        <v>141</v>
      </c>
      <c r="J3" s="81"/>
    </row>
    <row r="4" spans="1:10" ht="18" customHeight="1" thickBot="1">
      <c r="A4" s="33"/>
      <c r="B4" s="282" t="s">
        <v>166</v>
      </c>
      <c r="C4" s="282" t="s">
        <v>167</v>
      </c>
      <c r="D4" s="85" t="s">
        <v>141</v>
      </c>
      <c r="E4" s="85"/>
      <c r="F4" s="282" t="s">
        <v>169</v>
      </c>
      <c r="G4" s="282" t="s">
        <v>170</v>
      </c>
      <c r="H4" s="85" t="s">
        <v>141</v>
      </c>
      <c r="I4" s="24"/>
      <c r="J4" s="33"/>
    </row>
    <row r="5" spans="1:10" ht="16.5" customHeight="1">
      <c r="A5" s="530"/>
      <c r="I5" s="283" t="s">
        <v>133</v>
      </c>
      <c r="J5" s="284"/>
    </row>
    <row r="6" spans="1:11" ht="14.25" customHeight="1">
      <c r="A6" s="285" t="s">
        <v>270</v>
      </c>
      <c r="B6" s="286">
        <v>0</v>
      </c>
      <c r="C6" s="286">
        <v>0</v>
      </c>
      <c r="D6" s="286">
        <v>0</v>
      </c>
      <c r="E6" s="286"/>
      <c r="F6" s="286">
        <v>553</v>
      </c>
      <c r="G6" s="286">
        <v>465</v>
      </c>
      <c r="H6" s="286">
        <v>1017</v>
      </c>
      <c r="I6" s="286">
        <v>1017</v>
      </c>
      <c r="K6" s="291"/>
    </row>
    <row r="7" spans="1:11" ht="7.5" customHeight="1">
      <c r="A7" s="2"/>
      <c r="B7" s="144"/>
      <c r="C7" s="144"/>
      <c r="D7" s="144"/>
      <c r="E7" s="144"/>
      <c r="F7" s="144"/>
      <c r="G7" s="144"/>
      <c r="H7" s="144"/>
      <c r="I7" s="675"/>
      <c r="J7" s="284"/>
      <c r="K7" s="291"/>
    </row>
    <row r="8" spans="1:11" ht="15.75">
      <c r="A8" s="287" t="s">
        <v>260</v>
      </c>
      <c r="B8" s="286">
        <v>3</v>
      </c>
      <c r="C8" s="286">
        <v>0</v>
      </c>
      <c r="D8" s="286">
        <v>3</v>
      </c>
      <c r="E8" s="286"/>
      <c r="F8" s="286">
        <v>1147</v>
      </c>
      <c r="G8" s="286">
        <v>1484</v>
      </c>
      <c r="H8" s="286">
        <v>2632</v>
      </c>
      <c r="I8" s="286">
        <v>2634</v>
      </c>
      <c r="K8" s="291"/>
    </row>
    <row r="9" spans="1:11" ht="6.75" customHeight="1">
      <c r="A9" s="287"/>
      <c r="B9" s="286"/>
      <c r="C9" s="286"/>
      <c r="D9" s="286"/>
      <c r="E9" s="286"/>
      <c r="F9" s="286"/>
      <c r="G9" s="286"/>
      <c r="H9" s="286"/>
      <c r="I9" s="286"/>
      <c r="K9" s="291"/>
    </row>
    <row r="10" spans="1:11" ht="15.75">
      <c r="A10" s="287" t="s">
        <v>143</v>
      </c>
      <c r="B10" s="286">
        <v>7401</v>
      </c>
      <c r="C10" s="286">
        <v>1069</v>
      </c>
      <c r="D10" s="286">
        <v>8470</v>
      </c>
      <c r="E10" s="286"/>
      <c r="F10" s="286">
        <v>1581</v>
      </c>
      <c r="G10" s="286">
        <v>2232</v>
      </c>
      <c r="H10" s="286">
        <v>3813</v>
      </c>
      <c r="I10" s="286">
        <v>12283</v>
      </c>
      <c r="K10" s="291"/>
    </row>
    <row r="11" spans="1:11" ht="7.5" customHeight="1">
      <c r="A11" s="287"/>
      <c r="B11" s="286"/>
      <c r="C11" s="286"/>
      <c r="D11" s="286"/>
      <c r="E11" s="286"/>
      <c r="F11" s="286"/>
      <c r="G11" s="286"/>
      <c r="H11" s="286"/>
      <c r="I11" s="286"/>
      <c r="K11" s="291"/>
    </row>
    <row r="12" spans="1:11" ht="15.75">
      <c r="A12" s="287" t="s">
        <v>151</v>
      </c>
      <c r="B12" s="286">
        <v>0</v>
      </c>
      <c r="C12" s="286">
        <v>4440</v>
      </c>
      <c r="D12" s="286">
        <v>4440</v>
      </c>
      <c r="E12" s="286"/>
      <c r="F12" s="286">
        <v>0</v>
      </c>
      <c r="G12" s="286">
        <v>1406</v>
      </c>
      <c r="H12" s="286">
        <v>1406</v>
      </c>
      <c r="I12" s="286">
        <v>5846</v>
      </c>
      <c r="K12" s="291"/>
    </row>
    <row r="13" spans="1:11" ht="7.5" customHeight="1">
      <c r="A13" s="287"/>
      <c r="B13" s="286"/>
      <c r="C13" s="286"/>
      <c r="D13" s="286"/>
      <c r="E13" s="286"/>
      <c r="F13" s="286"/>
      <c r="G13" s="286"/>
      <c r="H13" s="286"/>
      <c r="I13" s="286"/>
      <c r="K13" s="291"/>
    </row>
    <row r="14" spans="1:11" ht="15.75">
      <c r="A14" s="287" t="s">
        <v>147</v>
      </c>
      <c r="B14" s="286">
        <v>6</v>
      </c>
      <c r="C14" s="286">
        <v>1682</v>
      </c>
      <c r="D14" s="286">
        <v>1689</v>
      </c>
      <c r="E14" s="286"/>
      <c r="F14" s="286">
        <v>178</v>
      </c>
      <c r="G14" s="286">
        <v>1377</v>
      </c>
      <c r="H14" s="286">
        <v>1556</v>
      </c>
      <c r="I14" s="286">
        <v>3244</v>
      </c>
      <c r="K14" s="291"/>
    </row>
    <row r="15" spans="1:11" ht="7.5" customHeight="1">
      <c r="A15" s="287"/>
      <c r="B15" s="286"/>
      <c r="C15" s="286"/>
      <c r="D15" s="286"/>
      <c r="E15" s="286"/>
      <c r="F15" s="286"/>
      <c r="G15" s="286"/>
      <c r="H15" s="286"/>
      <c r="I15" s="286"/>
      <c r="K15" s="291"/>
    </row>
    <row r="16" spans="1:11" ht="15.75">
      <c r="A16" s="287" t="s">
        <v>149</v>
      </c>
      <c r="B16" s="286">
        <v>69</v>
      </c>
      <c r="C16" s="286">
        <v>6134</v>
      </c>
      <c r="D16" s="286">
        <v>6203</v>
      </c>
      <c r="E16" s="75"/>
      <c r="F16" s="286">
        <v>952</v>
      </c>
      <c r="G16" s="286">
        <v>4116</v>
      </c>
      <c r="H16" s="286">
        <v>5068</v>
      </c>
      <c r="I16" s="286">
        <v>11270</v>
      </c>
      <c r="K16" s="291"/>
    </row>
    <row r="17" spans="1:11" ht="7.5" customHeight="1">
      <c r="A17" s="287"/>
      <c r="B17" s="286"/>
      <c r="C17" s="286"/>
      <c r="D17" s="286"/>
      <c r="E17" s="286"/>
      <c r="F17" s="286"/>
      <c r="G17" s="286"/>
      <c r="H17" s="286"/>
      <c r="I17" s="286"/>
      <c r="K17" s="291"/>
    </row>
    <row r="18" spans="1:11" ht="15.75">
      <c r="A18" s="287" t="s">
        <v>150</v>
      </c>
      <c r="B18" s="286">
        <v>252</v>
      </c>
      <c r="C18" s="286">
        <v>1819</v>
      </c>
      <c r="D18" s="286">
        <v>2071</v>
      </c>
      <c r="E18" s="286"/>
      <c r="F18" s="286">
        <v>1407</v>
      </c>
      <c r="G18" s="286">
        <v>185</v>
      </c>
      <c r="H18" s="286">
        <v>1592</v>
      </c>
      <c r="I18" s="286">
        <v>3663</v>
      </c>
      <c r="K18" s="291"/>
    </row>
    <row r="19" spans="1:11" ht="7.5" customHeight="1">
      <c r="A19" s="287"/>
      <c r="B19" s="286"/>
      <c r="C19" s="286"/>
      <c r="D19" s="286"/>
      <c r="E19" s="286"/>
      <c r="F19" s="286"/>
      <c r="G19" s="286"/>
      <c r="H19" s="286"/>
      <c r="I19" s="286"/>
      <c r="K19" s="291"/>
    </row>
    <row r="20" spans="1:11" ht="12.75" customHeight="1">
      <c r="A20" s="287" t="s">
        <v>272</v>
      </c>
      <c r="B20" s="286">
        <v>8</v>
      </c>
      <c r="C20" s="286">
        <v>220</v>
      </c>
      <c r="D20" s="286">
        <v>228</v>
      </c>
      <c r="E20" s="286"/>
      <c r="F20" s="286">
        <v>530</v>
      </c>
      <c r="G20" s="286">
        <v>348</v>
      </c>
      <c r="H20" s="286">
        <v>878</v>
      </c>
      <c r="I20" s="286">
        <v>1107</v>
      </c>
      <c r="K20" s="291"/>
    </row>
    <row r="21" spans="1:11" ht="7.5" customHeight="1">
      <c r="A21" s="287"/>
      <c r="B21" s="286"/>
      <c r="C21" s="286"/>
      <c r="D21" s="286"/>
      <c r="E21" s="286"/>
      <c r="F21" s="286"/>
      <c r="G21" s="286"/>
      <c r="H21" s="286"/>
      <c r="I21" s="286"/>
      <c r="K21" s="291"/>
    </row>
    <row r="22" spans="1:11" ht="15.75">
      <c r="A22" s="287" t="s">
        <v>153</v>
      </c>
      <c r="B22" s="286">
        <v>503</v>
      </c>
      <c r="C22" s="286">
        <v>416</v>
      </c>
      <c r="D22" s="286">
        <v>919</v>
      </c>
      <c r="E22" s="286"/>
      <c r="F22" s="286">
        <v>1532</v>
      </c>
      <c r="G22" s="286">
        <v>1713</v>
      </c>
      <c r="H22" s="286">
        <v>3245</v>
      </c>
      <c r="I22" s="286">
        <v>4164</v>
      </c>
      <c r="K22" s="291"/>
    </row>
    <row r="23" spans="1:11" ht="7.5" customHeight="1">
      <c r="A23" s="287"/>
      <c r="B23" s="286"/>
      <c r="C23" s="286"/>
      <c r="D23" s="286"/>
      <c r="E23" s="286"/>
      <c r="F23" s="286"/>
      <c r="G23" s="286"/>
      <c r="H23" s="286"/>
      <c r="I23" s="286"/>
      <c r="K23" s="291"/>
    </row>
    <row r="24" spans="1:11" ht="14.25" customHeight="1">
      <c r="A24" s="285" t="s">
        <v>274</v>
      </c>
      <c r="B24" s="286">
        <v>724</v>
      </c>
      <c r="C24" s="286">
        <v>174</v>
      </c>
      <c r="D24" s="286">
        <v>897</v>
      </c>
      <c r="E24" s="286"/>
      <c r="F24" s="286">
        <v>30</v>
      </c>
      <c r="G24" s="286">
        <v>35</v>
      </c>
      <c r="H24" s="286">
        <v>65</v>
      </c>
      <c r="I24" s="286">
        <v>962</v>
      </c>
      <c r="K24" s="291"/>
    </row>
    <row r="25" spans="1:11" ht="7.5" customHeight="1">
      <c r="A25" s="287"/>
      <c r="B25" s="286"/>
      <c r="C25" s="286"/>
      <c r="D25" s="286"/>
      <c r="E25" s="286"/>
      <c r="F25" s="286"/>
      <c r="G25" s="286"/>
      <c r="H25" s="286"/>
      <c r="I25" s="286"/>
      <c r="K25" s="291"/>
    </row>
    <row r="26" spans="1:11" ht="15.75">
      <c r="A26" s="287" t="s">
        <v>154</v>
      </c>
      <c r="B26" s="286">
        <v>4203</v>
      </c>
      <c r="C26" s="286">
        <v>23937</v>
      </c>
      <c r="D26" s="286">
        <v>28140</v>
      </c>
      <c r="E26" s="286"/>
      <c r="F26" s="286">
        <v>812</v>
      </c>
      <c r="G26" s="286">
        <v>5384</v>
      </c>
      <c r="H26" s="286">
        <v>6196</v>
      </c>
      <c r="I26" s="286">
        <v>34335</v>
      </c>
      <c r="K26" s="291"/>
    </row>
    <row r="27" spans="1:9" ht="7.5" customHeight="1">
      <c r="A27" s="289"/>
      <c r="B27" s="290"/>
      <c r="C27" s="290"/>
      <c r="D27" s="290"/>
      <c r="E27" s="290"/>
      <c r="F27" s="290"/>
      <c r="G27" s="290"/>
      <c r="H27" s="290"/>
      <c r="I27" s="290"/>
    </row>
    <row r="28" spans="1:11" ht="16.5" thickBot="1">
      <c r="A28" s="127" t="s">
        <v>309</v>
      </c>
      <c r="B28" s="553">
        <f>SUM(B6:B27)</f>
        <v>13169</v>
      </c>
      <c r="C28" s="553">
        <f>SUM(C6:C27)</f>
        <v>39891</v>
      </c>
      <c r="D28" s="553">
        <f>SUM(D6:D27)</f>
        <v>53060</v>
      </c>
      <c r="E28" s="553"/>
      <c r="F28" s="553">
        <f>SUM(F6:F27)</f>
        <v>8722</v>
      </c>
      <c r="G28" s="553">
        <f>SUM(G6:G27)</f>
        <v>18745</v>
      </c>
      <c r="H28" s="553">
        <f>SUM(H6:H27)</f>
        <v>27468</v>
      </c>
      <c r="I28" s="553">
        <f>SUM(I6:I27)</f>
        <v>80525</v>
      </c>
      <c r="K28" s="291"/>
    </row>
    <row r="29" ht="5.25" customHeight="1"/>
    <row r="30" spans="4:8" ht="15">
      <c r="D30" s="291"/>
      <c r="E30" s="291"/>
      <c r="H30" s="291"/>
    </row>
    <row r="32" ht="15">
      <c r="I32" s="270"/>
    </row>
    <row r="33" spans="1:9" ht="16.5">
      <c r="A33" s="533" t="s">
        <v>4</v>
      </c>
      <c r="B33" s="33"/>
      <c r="C33" s="33"/>
      <c r="D33" s="33"/>
      <c r="E33" s="33"/>
      <c r="F33" s="33"/>
      <c r="G33" s="33"/>
      <c r="H33" s="33"/>
      <c r="I33" s="33"/>
    </row>
    <row r="34" spans="1:9" ht="16.5" thickBot="1">
      <c r="A34" s="127" t="s">
        <v>292</v>
      </c>
      <c r="B34" s="24"/>
      <c r="C34" s="24"/>
      <c r="D34" s="24"/>
      <c r="E34" s="24"/>
      <c r="F34" s="24"/>
      <c r="G34" s="24"/>
      <c r="H34" s="24"/>
      <c r="I34" s="24"/>
    </row>
    <row r="35" spans="2:9" ht="16.5" thickBot="1">
      <c r="B35" s="698" t="s">
        <v>161</v>
      </c>
      <c r="C35" s="699"/>
      <c r="D35" s="699"/>
      <c r="E35" s="527"/>
      <c r="F35" s="700" t="s">
        <v>162</v>
      </c>
      <c r="G35" s="701"/>
      <c r="H35" s="701"/>
      <c r="I35" s="81" t="s">
        <v>141</v>
      </c>
    </row>
    <row r="36" spans="1:9" ht="32.25" thickBot="1">
      <c r="A36" s="24"/>
      <c r="B36" s="282" t="s">
        <v>166</v>
      </c>
      <c r="C36" s="282" t="s">
        <v>167</v>
      </c>
      <c r="D36" s="85" t="s">
        <v>141</v>
      </c>
      <c r="E36" s="531"/>
      <c r="F36" s="282" t="s">
        <v>169</v>
      </c>
      <c r="G36" s="282" t="s">
        <v>170</v>
      </c>
      <c r="H36" s="85" t="s">
        <v>141</v>
      </c>
      <c r="I36" s="24"/>
    </row>
    <row r="37" ht="15">
      <c r="I37" s="283" t="s">
        <v>133</v>
      </c>
    </row>
    <row r="38" spans="1:9" ht="15.75">
      <c r="A38" s="285" t="s">
        <v>270</v>
      </c>
      <c r="B38" s="286" t="s">
        <v>152</v>
      </c>
      <c r="C38" s="286" t="s">
        <v>152</v>
      </c>
      <c r="D38" s="286" t="s">
        <v>152</v>
      </c>
      <c r="E38" s="286"/>
      <c r="F38" s="286">
        <v>543</v>
      </c>
      <c r="G38" s="286">
        <v>442</v>
      </c>
      <c r="H38" s="286">
        <v>986</v>
      </c>
      <c r="I38" s="286">
        <v>986</v>
      </c>
    </row>
    <row r="39" spans="2:9" ht="15">
      <c r="B39" s="144"/>
      <c r="C39" s="144"/>
      <c r="D39" s="144"/>
      <c r="E39" s="144"/>
      <c r="F39" s="144"/>
      <c r="G39" s="144"/>
      <c r="H39" s="144"/>
      <c r="I39" s="675"/>
    </row>
    <row r="40" spans="1:9" ht="15.75">
      <c r="A40" s="287" t="s">
        <v>260</v>
      </c>
      <c r="B40" s="286" t="s">
        <v>152</v>
      </c>
      <c r="C40" s="286" t="s">
        <v>152</v>
      </c>
      <c r="D40" s="286" t="s">
        <v>152</v>
      </c>
      <c r="E40" s="286"/>
      <c r="F40" s="286">
        <v>1340</v>
      </c>
      <c r="G40" s="286">
        <v>1592</v>
      </c>
      <c r="H40" s="286">
        <v>2932</v>
      </c>
      <c r="I40" s="286">
        <v>2932</v>
      </c>
    </row>
    <row r="41" spans="1:9" ht="15">
      <c r="A41" s="288"/>
      <c r="B41" s="286"/>
      <c r="C41" s="286"/>
      <c r="D41" s="286"/>
      <c r="E41" s="286"/>
      <c r="F41" s="286"/>
      <c r="G41" s="286"/>
      <c r="H41" s="286"/>
      <c r="I41" s="286"/>
    </row>
    <row r="42" spans="1:9" ht="15.75">
      <c r="A42" s="287" t="s">
        <v>143</v>
      </c>
      <c r="B42" s="286">
        <v>8924</v>
      </c>
      <c r="C42" s="286">
        <v>1369</v>
      </c>
      <c r="D42" s="286">
        <v>10293</v>
      </c>
      <c r="E42" s="286"/>
      <c r="F42" s="286">
        <v>1057</v>
      </c>
      <c r="G42" s="286">
        <v>2081</v>
      </c>
      <c r="H42" s="286">
        <v>3138</v>
      </c>
      <c r="I42" s="286">
        <v>13431</v>
      </c>
    </row>
    <row r="43" spans="1:9" ht="15">
      <c r="A43" s="288"/>
      <c r="B43" s="286"/>
      <c r="C43" s="286"/>
      <c r="D43" s="286"/>
      <c r="E43" s="286"/>
      <c r="F43" s="286"/>
      <c r="G43" s="286"/>
      <c r="H43" s="286"/>
      <c r="I43" s="286"/>
    </row>
    <row r="44" spans="1:9" ht="15.75">
      <c r="A44" s="287" t="s">
        <v>151</v>
      </c>
      <c r="B44" s="286">
        <v>0</v>
      </c>
      <c r="C44" s="286">
        <v>4891</v>
      </c>
      <c r="D44" s="286">
        <v>4891</v>
      </c>
      <c r="E44" s="286"/>
      <c r="F44" s="286">
        <v>0</v>
      </c>
      <c r="G44" s="286">
        <v>1169</v>
      </c>
      <c r="H44" s="286">
        <v>1169</v>
      </c>
      <c r="I44" s="286">
        <v>6060</v>
      </c>
    </row>
    <row r="45" spans="1:9" ht="15.75">
      <c r="A45" s="287"/>
      <c r="B45" s="286"/>
      <c r="C45" s="286"/>
      <c r="D45" s="286"/>
      <c r="E45" s="286"/>
      <c r="F45" s="286"/>
      <c r="G45" s="286"/>
      <c r="H45" s="286"/>
      <c r="I45" s="286"/>
    </row>
    <row r="46" spans="1:9" ht="15.75">
      <c r="A46" s="287" t="s">
        <v>147</v>
      </c>
      <c r="B46" s="286">
        <v>7</v>
      </c>
      <c r="C46" s="286">
        <v>982</v>
      </c>
      <c r="D46" s="286">
        <v>989</v>
      </c>
      <c r="E46" s="286"/>
      <c r="F46" s="286">
        <v>179</v>
      </c>
      <c r="G46" s="286">
        <v>1176</v>
      </c>
      <c r="H46" s="286">
        <v>1355</v>
      </c>
      <c r="I46" s="286">
        <v>2344</v>
      </c>
    </row>
    <row r="47" spans="1:9" ht="15">
      <c r="A47" s="288"/>
      <c r="B47" s="286"/>
      <c r="C47" s="286"/>
      <c r="D47" s="286"/>
      <c r="E47" s="286"/>
      <c r="F47" s="286"/>
      <c r="G47" s="286"/>
      <c r="H47" s="286"/>
      <c r="I47" s="286"/>
    </row>
    <row r="48" spans="1:9" ht="15.75">
      <c r="A48" s="287" t="s">
        <v>149</v>
      </c>
      <c r="B48" s="286">
        <v>65</v>
      </c>
      <c r="C48" s="286">
        <v>4324</v>
      </c>
      <c r="D48" s="286">
        <v>4389</v>
      </c>
      <c r="E48" s="75"/>
      <c r="F48" s="286">
        <v>682</v>
      </c>
      <c r="G48" s="286">
        <v>5082</v>
      </c>
      <c r="H48" s="286">
        <v>5764</v>
      </c>
      <c r="I48" s="286">
        <v>10153</v>
      </c>
    </row>
    <row r="49" spans="1:9" ht="15">
      <c r="A49" s="288"/>
      <c r="B49" s="286"/>
      <c r="C49" s="286"/>
      <c r="D49" s="286"/>
      <c r="E49" s="286"/>
      <c r="F49" s="286"/>
      <c r="G49" s="286"/>
      <c r="H49" s="286"/>
      <c r="I49" s="286"/>
    </row>
    <row r="50" spans="1:9" ht="15.75">
      <c r="A50" s="287" t="s">
        <v>150</v>
      </c>
      <c r="B50" s="286">
        <v>273</v>
      </c>
      <c r="C50" s="286">
        <v>1966</v>
      </c>
      <c r="D50" s="286">
        <v>2238</v>
      </c>
      <c r="E50" s="286"/>
      <c r="F50" s="286">
        <v>1609</v>
      </c>
      <c r="G50" s="286">
        <v>172</v>
      </c>
      <c r="H50" s="286">
        <v>1782</v>
      </c>
      <c r="I50" s="286">
        <v>4020</v>
      </c>
    </row>
    <row r="51" spans="1:9" ht="15">
      <c r="A51" s="288"/>
      <c r="B51" s="286"/>
      <c r="C51" s="286"/>
      <c r="D51" s="286"/>
      <c r="E51" s="286"/>
      <c r="F51" s="286"/>
      <c r="G51" s="286"/>
      <c r="H51" s="286"/>
      <c r="I51" s="286"/>
    </row>
    <row r="52" spans="1:9" ht="15.75">
      <c r="A52" s="287" t="s">
        <v>272</v>
      </c>
      <c r="B52" s="286">
        <v>10</v>
      </c>
      <c r="C52" s="286">
        <v>135</v>
      </c>
      <c r="D52" s="286">
        <v>145</v>
      </c>
      <c r="E52" s="286"/>
      <c r="F52" s="286">
        <v>531</v>
      </c>
      <c r="G52" s="286">
        <v>378</v>
      </c>
      <c r="H52" s="286">
        <v>909</v>
      </c>
      <c r="I52" s="286">
        <v>1054</v>
      </c>
    </row>
    <row r="53" spans="1:9" ht="15">
      <c r="A53" s="288"/>
      <c r="B53" s="286"/>
      <c r="C53" s="286"/>
      <c r="D53" s="286"/>
      <c r="E53" s="286"/>
      <c r="F53" s="286"/>
      <c r="G53" s="286"/>
      <c r="H53" s="286"/>
      <c r="I53" s="286"/>
    </row>
    <row r="54" spans="1:9" ht="15.75">
      <c r="A54" s="287" t="s">
        <v>153</v>
      </c>
      <c r="B54" s="286">
        <v>463</v>
      </c>
      <c r="C54" s="286">
        <v>480</v>
      </c>
      <c r="D54" s="286">
        <v>943</v>
      </c>
      <c r="E54" s="286"/>
      <c r="F54" s="286">
        <v>1504</v>
      </c>
      <c r="G54" s="286">
        <v>1718</v>
      </c>
      <c r="H54" s="286">
        <v>3222</v>
      </c>
      <c r="I54" s="286">
        <v>4165</v>
      </c>
    </row>
    <row r="55" spans="1:9" ht="15.75">
      <c r="A55" s="287"/>
      <c r="B55" s="286"/>
      <c r="C55" s="286"/>
      <c r="D55" s="286"/>
      <c r="E55" s="286"/>
      <c r="F55" s="286"/>
      <c r="G55" s="286"/>
      <c r="H55" s="286"/>
      <c r="I55" s="286"/>
    </row>
    <row r="56" spans="1:9" ht="15.75">
      <c r="A56" s="285" t="s">
        <v>274</v>
      </c>
      <c r="B56" s="286">
        <v>690</v>
      </c>
      <c r="C56" s="286">
        <v>147</v>
      </c>
      <c r="D56" s="286">
        <v>837</v>
      </c>
      <c r="E56" s="286"/>
      <c r="F56" s="286">
        <v>31</v>
      </c>
      <c r="G56" s="286">
        <v>61</v>
      </c>
      <c r="H56" s="286">
        <v>92</v>
      </c>
      <c r="I56" s="286">
        <v>929</v>
      </c>
    </row>
    <row r="57" spans="1:9" ht="15">
      <c r="A57" s="288"/>
      <c r="B57" s="286"/>
      <c r="C57" s="286"/>
      <c r="D57" s="286"/>
      <c r="E57" s="286"/>
      <c r="F57" s="286"/>
      <c r="G57" s="286"/>
      <c r="H57" s="286"/>
      <c r="I57" s="286"/>
    </row>
    <row r="58" spans="1:9" ht="15.75">
      <c r="A58" s="287" t="s">
        <v>154</v>
      </c>
      <c r="B58" s="286">
        <v>3784</v>
      </c>
      <c r="C58" s="286">
        <v>19064</v>
      </c>
      <c r="D58" s="286">
        <v>22848</v>
      </c>
      <c r="E58" s="286"/>
      <c r="F58" s="286">
        <v>523</v>
      </c>
      <c r="G58" s="286">
        <v>4507</v>
      </c>
      <c r="H58" s="286">
        <v>5030</v>
      </c>
      <c r="I58" s="286">
        <v>27878</v>
      </c>
    </row>
    <row r="59" spans="1:9" ht="15.75">
      <c r="A59" s="289"/>
      <c r="B59" s="290"/>
      <c r="C59" s="290"/>
      <c r="D59" s="290"/>
      <c r="E59" s="290"/>
      <c r="F59" s="290"/>
      <c r="G59" s="290"/>
      <c r="H59" s="290"/>
      <c r="I59" s="290"/>
    </row>
    <row r="60" spans="1:11" ht="16.5" thickBot="1">
      <c r="A60" s="127" t="s">
        <v>309</v>
      </c>
      <c r="B60" s="553">
        <f aca="true" t="shared" si="0" ref="B60:I60">SUM(B38:B59)</f>
        <v>14216</v>
      </c>
      <c r="C60" s="553">
        <f t="shared" si="0"/>
        <v>33358</v>
      </c>
      <c r="D60" s="553">
        <f t="shared" si="0"/>
        <v>47573</v>
      </c>
      <c r="E60" s="553"/>
      <c r="F60" s="553">
        <f t="shared" si="0"/>
        <v>7999</v>
      </c>
      <c r="G60" s="553">
        <f t="shared" si="0"/>
        <v>18378</v>
      </c>
      <c r="H60" s="553">
        <f t="shared" si="0"/>
        <v>26379</v>
      </c>
      <c r="I60" s="553">
        <f t="shared" si="0"/>
        <v>73952</v>
      </c>
      <c r="K60" s="291"/>
    </row>
    <row r="62" spans="4:8" ht="15">
      <c r="D62" s="291"/>
      <c r="E62" s="291"/>
      <c r="H62" s="291"/>
    </row>
    <row r="63" ht="4.5" customHeight="1"/>
  </sheetData>
  <sheetProtection/>
  <mergeCells count="4">
    <mergeCell ref="B3:D3"/>
    <mergeCell ref="F3:H3"/>
    <mergeCell ref="B35:D35"/>
    <mergeCell ref="F35:H35"/>
  </mergeCells>
  <printOptions/>
  <pageMargins left="0.75" right="0.75" top="1" bottom="1" header="0.5" footer="0.5"/>
  <pageSetup fitToHeight="1" fitToWidth="1" horizontalDpi="96" verticalDpi="96" orientation="portrait" paperSize="9" scale="80" r:id="rId1"/>
  <headerFooter alignWithMargins="0">
    <oddHeader>&amp;R&amp;"Arial,Bold"&amp;12WATER TRANSPORT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2.00390625" style="25" customWidth="1"/>
    <col min="2" max="2" width="12.7109375" style="25" customWidth="1"/>
    <col min="3" max="3" width="14.57421875" style="25" customWidth="1"/>
    <col min="4" max="4" width="14.421875" style="25" customWidth="1"/>
    <col min="5" max="5" width="13.57421875" style="25" customWidth="1"/>
    <col min="6" max="6" width="14.57421875" style="25" customWidth="1"/>
    <col min="7" max="7" width="14.421875" style="25" customWidth="1"/>
    <col min="8" max="8" width="14.7109375" style="25" customWidth="1"/>
    <col min="9" max="9" width="8.8515625" style="25" customWidth="1"/>
    <col min="10" max="10" width="33.00390625" style="25" customWidth="1"/>
    <col min="11" max="16384" width="9.140625" style="25" customWidth="1"/>
  </cols>
  <sheetData>
    <row r="1" spans="1:9" ht="16.5">
      <c r="A1" s="533" t="s">
        <v>5</v>
      </c>
      <c r="B1" s="33"/>
      <c r="C1" s="33"/>
      <c r="D1" s="33"/>
      <c r="E1" s="33"/>
      <c r="F1" s="33"/>
      <c r="G1" s="33"/>
      <c r="H1" s="33"/>
      <c r="I1" s="33"/>
    </row>
    <row r="2" spans="1:9" ht="6" customHeight="1">
      <c r="A2" s="33"/>
      <c r="B2" s="37"/>
      <c r="C2" s="37"/>
      <c r="D2" s="37"/>
      <c r="E2" s="33"/>
      <c r="F2" s="33"/>
      <c r="G2" s="33"/>
      <c r="H2" s="33"/>
      <c r="I2" s="33"/>
    </row>
    <row r="3" spans="1:9" s="298" customFormat="1" ht="30.75" customHeight="1">
      <c r="A3" s="299"/>
      <c r="B3" s="702" t="s">
        <v>161</v>
      </c>
      <c r="C3" s="702"/>
      <c r="D3" s="300" t="s">
        <v>163</v>
      </c>
      <c r="E3" s="702" t="s">
        <v>162</v>
      </c>
      <c r="F3" s="702"/>
      <c r="G3" s="300" t="s">
        <v>164</v>
      </c>
      <c r="H3" s="300" t="s">
        <v>165</v>
      </c>
      <c r="I3" s="294"/>
    </row>
    <row r="4" spans="1:9" s="298" customFormat="1" ht="33.75" customHeight="1">
      <c r="A4" s="301"/>
      <c r="B4" s="302" t="s">
        <v>166</v>
      </c>
      <c r="C4" s="302" t="s">
        <v>167</v>
      </c>
      <c r="D4" s="303" t="s">
        <v>168</v>
      </c>
      <c r="E4" s="302" t="s">
        <v>169</v>
      </c>
      <c r="F4" s="302" t="s">
        <v>170</v>
      </c>
      <c r="G4" s="303" t="s">
        <v>168</v>
      </c>
      <c r="H4" s="303" t="s">
        <v>171</v>
      </c>
      <c r="I4" s="294"/>
    </row>
    <row r="5" spans="2:9" ht="15.75">
      <c r="B5" s="295"/>
      <c r="C5" s="295"/>
      <c r="D5" s="295"/>
      <c r="E5" s="295"/>
      <c r="F5" s="295"/>
      <c r="G5" s="295"/>
      <c r="H5" s="304" t="s">
        <v>133</v>
      </c>
      <c r="I5" s="296"/>
    </row>
    <row r="6" spans="1:9" ht="15.75">
      <c r="A6" s="2" t="s">
        <v>632</v>
      </c>
      <c r="B6" s="295"/>
      <c r="C6" s="295"/>
      <c r="D6" s="295"/>
      <c r="E6" s="295"/>
      <c r="F6" s="295"/>
      <c r="G6" s="295"/>
      <c r="H6" s="304"/>
      <c r="I6" s="296"/>
    </row>
    <row r="7" spans="1:8" ht="17.25" customHeight="1">
      <c r="A7" s="188" t="s">
        <v>532</v>
      </c>
      <c r="B7" s="513">
        <v>86</v>
      </c>
      <c r="C7" s="513">
        <v>1331</v>
      </c>
      <c r="D7" s="513">
        <v>1417</v>
      </c>
      <c r="E7" s="513">
        <v>21</v>
      </c>
      <c r="F7" s="513">
        <v>637</v>
      </c>
      <c r="G7" s="515">
        <v>658</v>
      </c>
      <c r="H7" s="247">
        <f>D7+G7</f>
        <v>2075</v>
      </c>
    </row>
    <row r="8" spans="1:8" ht="17.25" customHeight="1">
      <c r="A8" s="188" t="s">
        <v>533</v>
      </c>
      <c r="B8" s="513">
        <v>3323</v>
      </c>
      <c r="C8" s="513">
        <v>20451</v>
      </c>
      <c r="D8" s="513">
        <v>23773</v>
      </c>
      <c r="E8" s="513">
        <v>2629</v>
      </c>
      <c r="F8" s="513">
        <v>8801</v>
      </c>
      <c r="G8" s="515">
        <v>11429</v>
      </c>
      <c r="H8" s="247">
        <f aca="true" t="shared" si="0" ref="H8:H42">D8+G8</f>
        <v>35202</v>
      </c>
    </row>
    <row r="9" spans="1:8" ht="17.25" customHeight="1">
      <c r="A9" s="188" t="s">
        <v>534</v>
      </c>
      <c r="B9" s="513">
        <v>2238</v>
      </c>
      <c r="C9" s="513">
        <v>3145</v>
      </c>
      <c r="D9" s="513">
        <v>5383</v>
      </c>
      <c r="E9" s="513">
        <v>1610</v>
      </c>
      <c r="F9" s="513">
        <v>1575</v>
      </c>
      <c r="G9" s="515">
        <v>3185</v>
      </c>
      <c r="H9" s="247">
        <f t="shared" si="0"/>
        <v>8568</v>
      </c>
    </row>
    <row r="10" spans="1:8" ht="17.25" customHeight="1">
      <c r="A10" s="188" t="s">
        <v>535</v>
      </c>
      <c r="B10" s="513">
        <v>314</v>
      </c>
      <c r="C10" s="513">
        <v>183</v>
      </c>
      <c r="D10" s="513">
        <v>498</v>
      </c>
      <c r="E10" s="513">
        <v>140</v>
      </c>
      <c r="F10" s="513">
        <v>925</v>
      </c>
      <c r="G10" s="515">
        <v>1065</v>
      </c>
      <c r="H10" s="247">
        <f t="shared" si="0"/>
        <v>1563</v>
      </c>
    </row>
    <row r="11" spans="1:8" ht="17.25" customHeight="1">
      <c r="A11" s="188" t="s">
        <v>633</v>
      </c>
      <c r="B11" s="513">
        <v>5960</v>
      </c>
      <c r="C11" s="513">
        <v>25111</v>
      </c>
      <c r="D11" s="513">
        <v>31071</v>
      </c>
      <c r="E11" s="515">
        <v>4400</v>
      </c>
      <c r="F11" s="515">
        <v>11938</v>
      </c>
      <c r="G11" s="515">
        <v>16337</v>
      </c>
      <c r="H11" s="247">
        <f>D11+G11</f>
        <v>47408</v>
      </c>
    </row>
    <row r="12" spans="1:8" ht="17.25" customHeight="1">
      <c r="A12" s="188"/>
      <c r="B12" s="513"/>
      <c r="C12" s="513"/>
      <c r="D12" s="513"/>
      <c r="E12" s="515"/>
      <c r="F12" s="515"/>
      <c r="G12" s="515"/>
      <c r="H12" s="247"/>
    </row>
    <row r="13" spans="1:8" ht="17.25" customHeight="1">
      <c r="A13" s="512" t="s">
        <v>634</v>
      </c>
      <c r="B13" s="513"/>
      <c r="C13" s="513"/>
      <c r="D13" s="513"/>
      <c r="E13" s="515"/>
      <c r="F13" s="515"/>
      <c r="G13" s="515"/>
      <c r="H13" s="247"/>
    </row>
    <row r="14" spans="1:8" ht="17.25" customHeight="1">
      <c r="A14" s="188" t="s">
        <v>536</v>
      </c>
      <c r="B14" s="513">
        <v>220</v>
      </c>
      <c r="C14" s="513">
        <v>520</v>
      </c>
      <c r="D14" s="513">
        <v>739</v>
      </c>
      <c r="E14" s="513">
        <v>50</v>
      </c>
      <c r="F14" s="513">
        <v>81</v>
      </c>
      <c r="G14" s="515">
        <v>131</v>
      </c>
      <c r="H14" s="247">
        <f t="shared" si="0"/>
        <v>870</v>
      </c>
    </row>
    <row r="15" spans="1:8" ht="17.25" customHeight="1">
      <c r="A15" s="188" t="s">
        <v>537</v>
      </c>
      <c r="B15" s="513">
        <v>5337</v>
      </c>
      <c r="C15" s="513">
        <v>18</v>
      </c>
      <c r="D15" s="513">
        <v>5355</v>
      </c>
      <c r="E15" s="513">
        <v>82</v>
      </c>
      <c r="F15" s="513">
        <v>1279</v>
      </c>
      <c r="G15" s="515">
        <v>1361</v>
      </c>
      <c r="H15" s="247">
        <f t="shared" si="0"/>
        <v>6716</v>
      </c>
    </row>
    <row r="16" spans="1:8" ht="32.25" customHeight="1">
      <c r="A16" s="188" t="s">
        <v>538</v>
      </c>
      <c r="B16" s="513">
        <v>453</v>
      </c>
      <c r="C16" s="513">
        <v>226</v>
      </c>
      <c r="D16" s="513">
        <v>679</v>
      </c>
      <c r="E16" s="513">
        <v>49</v>
      </c>
      <c r="F16" s="513">
        <v>81</v>
      </c>
      <c r="G16" s="515">
        <v>131</v>
      </c>
      <c r="H16" s="247">
        <f t="shared" si="0"/>
        <v>810</v>
      </c>
    </row>
    <row r="17" spans="1:8" ht="17.25" customHeight="1">
      <c r="A17" s="188" t="s">
        <v>539</v>
      </c>
      <c r="B17" s="513">
        <v>682</v>
      </c>
      <c r="C17" s="513">
        <v>5104</v>
      </c>
      <c r="D17" s="513">
        <v>5786</v>
      </c>
      <c r="E17" s="513">
        <v>701</v>
      </c>
      <c r="F17" s="513">
        <v>1371</v>
      </c>
      <c r="G17" s="515">
        <v>2073</v>
      </c>
      <c r="H17" s="247">
        <f t="shared" si="0"/>
        <v>7859</v>
      </c>
    </row>
    <row r="18" spans="1:8" ht="15">
      <c r="A18" s="180" t="s">
        <v>635</v>
      </c>
      <c r="B18" s="515">
        <v>6689</v>
      </c>
      <c r="C18" s="513">
        <v>5870</v>
      </c>
      <c r="D18" s="513">
        <v>12559</v>
      </c>
      <c r="E18" s="515">
        <v>883</v>
      </c>
      <c r="F18" s="515">
        <v>2813</v>
      </c>
      <c r="G18" s="515">
        <v>3695</v>
      </c>
      <c r="H18" s="247">
        <f>D18+G18</f>
        <v>16254</v>
      </c>
    </row>
    <row r="19" spans="1:8" ht="15">
      <c r="A19" s="188"/>
      <c r="B19" s="515"/>
      <c r="C19" s="513"/>
      <c r="D19" s="513"/>
      <c r="E19" s="515"/>
      <c r="F19" s="515"/>
      <c r="G19" s="515"/>
      <c r="H19" s="247"/>
    </row>
    <row r="20" spans="1:8" ht="15.75">
      <c r="A20" s="2" t="s">
        <v>636</v>
      </c>
      <c r="B20" s="515"/>
      <c r="C20" s="513"/>
      <c r="D20" s="513"/>
      <c r="E20" s="515"/>
      <c r="F20" s="515"/>
      <c r="G20" s="515"/>
      <c r="H20" s="247"/>
    </row>
    <row r="21" spans="1:8" ht="17.25" customHeight="1">
      <c r="A21" s="188" t="s">
        <v>540</v>
      </c>
      <c r="B21" s="513">
        <v>162</v>
      </c>
      <c r="C21" s="513">
        <v>395</v>
      </c>
      <c r="D21" s="513">
        <v>556</v>
      </c>
      <c r="E21" s="513">
        <v>108</v>
      </c>
      <c r="F21" s="513">
        <v>208</v>
      </c>
      <c r="G21" s="515">
        <v>316</v>
      </c>
      <c r="H21" s="247">
        <f t="shared" si="0"/>
        <v>872</v>
      </c>
    </row>
    <row r="22" spans="1:8" ht="17.25" customHeight="1">
      <c r="A22" s="188" t="s">
        <v>541</v>
      </c>
      <c r="B22" s="513">
        <v>252</v>
      </c>
      <c r="C22" s="513">
        <v>950</v>
      </c>
      <c r="D22" s="513">
        <v>1202</v>
      </c>
      <c r="E22" s="513">
        <v>83</v>
      </c>
      <c r="F22" s="513">
        <v>224</v>
      </c>
      <c r="G22" s="515">
        <v>307</v>
      </c>
      <c r="H22" s="247">
        <f t="shared" si="0"/>
        <v>1509</v>
      </c>
    </row>
    <row r="23" spans="1:8" ht="17.25" customHeight="1">
      <c r="A23" s="188" t="s">
        <v>542</v>
      </c>
      <c r="B23" s="513">
        <v>27</v>
      </c>
      <c r="C23" s="513">
        <v>140</v>
      </c>
      <c r="D23" s="513">
        <v>167</v>
      </c>
      <c r="E23" s="513">
        <v>0</v>
      </c>
      <c r="F23" s="513">
        <v>0</v>
      </c>
      <c r="G23" s="515">
        <v>0</v>
      </c>
      <c r="H23" s="247">
        <f t="shared" si="0"/>
        <v>167</v>
      </c>
    </row>
    <row r="24" spans="1:8" ht="17.25" customHeight="1">
      <c r="A24" s="188" t="s">
        <v>543</v>
      </c>
      <c r="B24" s="513">
        <v>149</v>
      </c>
      <c r="C24" s="513">
        <v>142</v>
      </c>
      <c r="D24" s="513">
        <v>290</v>
      </c>
      <c r="E24" s="513">
        <v>2</v>
      </c>
      <c r="F24" s="513">
        <v>0</v>
      </c>
      <c r="G24" s="515">
        <v>3</v>
      </c>
      <c r="H24" s="247">
        <f t="shared" si="0"/>
        <v>293</v>
      </c>
    </row>
    <row r="25" spans="1:8" ht="17.25" customHeight="1">
      <c r="A25" s="180" t="s">
        <v>637</v>
      </c>
      <c r="B25" s="513">
        <v>590</v>
      </c>
      <c r="C25" s="513">
        <v>1627</v>
      </c>
      <c r="D25" s="513">
        <v>2216</v>
      </c>
      <c r="E25" s="513">
        <v>193</v>
      </c>
      <c r="F25" s="513">
        <v>433</v>
      </c>
      <c r="G25" s="515">
        <v>627</v>
      </c>
      <c r="H25" s="247">
        <f>D25+G25</f>
        <v>2843</v>
      </c>
    </row>
    <row r="26" spans="1:8" ht="14.25" customHeight="1">
      <c r="A26" s="188"/>
      <c r="B26" s="515"/>
      <c r="C26" s="513"/>
      <c r="D26" s="513"/>
      <c r="E26" s="513"/>
      <c r="F26" s="515"/>
      <c r="G26" s="515"/>
      <c r="H26" s="247"/>
    </row>
    <row r="27" spans="1:8" ht="18" customHeight="1">
      <c r="A27" s="2" t="s">
        <v>640</v>
      </c>
      <c r="B27" s="515"/>
      <c r="C27" s="513"/>
      <c r="D27" s="513"/>
      <c r="E27" s="513"/>
      <c r="F27" s="515"/>
      <c r="G27" s="515"/>
      <c r="H27" s="247"/>
    </row>
    <row r="28" spans="1:8" ht="32.25" customHeight="1">
      <c r="A28" s="188" t="s">
        <v>544</v>
      </c>
      <c r="B28" s="513">
        <v>4</v>
      </c>
      <c r="C28" s="513">
        <v>6</v>
      </c>
      <c r="D28" s="513">
        <v>10</v>
      </c>
      <c r="E28" s="513">
        <v>1177</v>
      </c>
      <c r="F28" s="513">
        <v>1278</v>
      </c>
      <c r="G28" s="515">
        <v>2455</v>
      </c>
      <c r="H28" s="247">
        <f t="shared" si="0"/>
        <v>2465</v>
      </c>
    </row>
    <row r="29" spans="1:8" ht="17.25" customHeight="1">
      <c r="A29" s="188" t="s">
        <v>545</v>
      </c>
      <c r="B29" s="513">
        <v>24</v>
      </c>
      <c r="C29" s="486">
        <v>2</v>
      </c>
      <c r="D29" s="513">
        <v>26</v>
      </c>
      <c r="E29" s="486">
        <v>1</v>
      </c>
      <c r="F29" s="513">
        <v>2</v>
      </c>
      <c r="G29" s="515">
        <v>3</v>
      </c>
      <c r="H29" s="247">
        <f t="shared" si="0"/>
        <v>29</v>
      </c>
    </row>
    <row r="30" spans="1:8" ht="17.25" customHeight="1">
      <c r="A30" s="188" t="s">
        <v>14</v>
      </c>
      <c r="B30" s="513">
        <v>28</v>
      </c>
      <c r="C30" s="513">
        <v>8</v>
      </c>
      <c r="D30" s="513">
        <v>36</v>
      </c>
      <c r="E30" s="486">
        <v>1179</v>
      </c>
      <c r="F30" s="486">
        <v>1281</v>
      </c>
      <c r="G30" s="515">
        <v>2459</v>
      </c>
      <c r="H30" s="247">
        <f>D30+G30</f>
        <v>2495</v>
      </c>
    </row>
    <row r="31" spans="1:8" ht="17.25" customHeight="1">
      <c r="A31" s="188"/>
      <c r="B31" s="513"/>
      <c r="C31" s="513"/>
      <c r="D31" s="513"/>
      <c r="E31" s="486"/>
      <c r="F31" s="486"/>
      <c r="G31" s="515"/>
      <c r="H31" s="247"/>
    </row>
    <row r="32" spans="1:8" ht="17.25" customHeight="1">
      <c r="A32" s="2" t="s">
        <v>638</v>
      </c>
      <c r="B32" s="513"/>
      <c r="C32" s="513"/>
      <c r="D32" s="513"/>
      <c r="E32" s="486"/>
      <c r="F32" s="515"/>
      <c r="G32" s="515"/>
      <c r="H32" s="247"/>
    </row>
    <row r="33" spans="1:8" ht="33.75" customHeight="1">
      <c r="A33" s="188" t="s">
        <v>548</v>
      </c>
      <c r="B33" s="486">
        <v>72</v>
      </c>
      <c r="C33" s="486">
        <v>75</v>
      </c>
      <c r="D33" s="513">
        <v>147</v>
      </c>
      <c r="E33" s="486">
        <v>888</v>
      </c>
      <c r="F33" s="486">
        <v>931</v>
      </c>
      <c r="G33" s="515">
        <v>1819</v>
      </c>
      <c r="H33" s="247">
        <f t="shared" si="0"/>
        <v>1966</v>
      </c>
    </row>
    <row r="34" spans="1:8" ht="50.25" customHeight="1">
      <c r="A34" s="188" t="s">
        <v>549</v>
      </c>
      <c r="B34" s="513">
        <v>0</v>
      </c>
      <c r="C34" s="513">
        <v>0</v>
      </c>
      <c r="D34" s="513">
        <f>SUM(B34:C34)</f>
        <v>0</v>
      </c>
      <c r="E34" s="486">
        <v>0</v>
      </c>
      <c r="F34" s="486">
        <v>1</v>
      </c>
      <c r="G34" s="515">
        <v>1</v>
      </c>
      <c r="H34" s="247">
        <f t="shared" si="0"/>
        <v>1</v>
      </c>
    </row>
    <row r="35" spans="1:8" ht="51" customHeight="1">
      <c r="A35" s="188" t="s">
        <v>550</v>
      </c>
      <c r="B35" s="513">
        <v>315</v>
      </c>
      <c r="C35" s="513">
        <v>155</v>
      </c>
      <c r="D35" s="513">
        <v>470</v>
      </c>
      <c r="E35" s="486">
        <v>16</v>
      </c>
      <c r="F35" s="486">
        <v>11</v>
      </c>
      <c r="G35" s="515">
        <v>27</v>
      </c>
      <c r="H35" s="247">
        <f t="shared" si="0"/>
        <v>497</v>
      </c>
    </row>
    <row r="36" spans="1:8" ht="18" customHeight="1">
      <c r="A36" s="188" t="s">
        <v>551</v>
      </c>
      <c r="B36" s="513">
        <v>0</v>
      </c>
      <c r="C36" s="513">
        <v>0</v>
      </c>
      <c r="D36" s="513">
        <f>SUM(B36:C36)</f>
        <v>0</v>
      </c>
      <c r="E36" s="486">
        <v>0</v>
      </c>
      <c r="F36" s="486">
        <v>0</v>
      </c>
      <c r="G36" s="515">
        <v>0</v>
      </c>
      <c r="H36" s="247">
        <f t="shared" si="0"/>
        <v>0</v>
      </c>
    </row>
    <row r="37" spans="1:8" ht="18" customHeight="1">
      <c r="A37" s="180" t="s">
        <v>639</v>
      </c>
      <c r="B37" s="513">
        <v>387</v>
      </c>
      <c r="C37" s="513">
        <v>230</v>
      </c>
      <c r="D37" s="513">
        <v>617</v>
      </c>
      <c r="E37" s="486">
        <v>904</v>
      </c>
      <c r="F37" s="486">
        <v>944</v>
      </c>
      <c r="G37" s="515">
        <v>1847</v>
      </c>
      <c r="H37" s="247">
        <f>D37+G37</f>
        <v>2464</v>
      </c>
    </row>
    <row r="38" spans="1:8" ht="15" customHeight="1">
      <c r="A38" s="188"/>
      <c r="B38" s="513"/>
      <c r="C38" s="513"/>
      <c r="D38" s="513"/>
      <c r="E38" s="486"/>
      <c r="F38" s="515"/>
      <c r="G38" s="515"/>
      <c r="H38" s="247"/>
    </row>
    <row r="39" spans="1:8" ht="17.25" customHeight="1">
      <c r="A39" s="512" t="s">
        <v>15</v>
      </c>
      <c r="B39" s="513"/>
      <c r="C39" s="513"/>
      <c r="D39" s="513"/>
      <c r="E39" s="486"/>
      <c r="F39" s="515"/>
      <c r="G39" s="515"/>
      <c r="H39" s="247"/>
    </row>
    <row r="40" spans="1:8" ht="17.25" customHeight="1">
      <c r="A40" s="188" t="s">
        <v>546</v>
      </c>
      <c r="B40" s="486">
        <v>214</v>
      </c>
      <c r="C40" s="486">
        <v>76</v>
      </c>
      <c r="D40" s="513">
        <v>289</v>
      </c>
      <c r="E40" s="486">
        <v>6</v>
      </c>
      <c r="F40" s="486">
        <v>0</v>
      </c>
      <c r="G40" s="515">
        <v>6</v>
      </c>
      <c r="H40" s="247">
        <f t="shared" si="0"/>
        <v>295</v>
      </c>
    </row>
    <row r="41" spans="1:8" ht="17.25" customHeight="1">
      <c r="A41" s="188" t="s">
        <v>552</v>
      </c>
      <c r="B41" s="486">
        <v>170</v>
      </c>
      <c r="C41" s="486">
        <v>89</v>
      </c>
      <c r="D41" s="513">
        <v>259</v>
      </c>
      <c r="E41" s="486">
        <v>9</v>
      </c>
      <c r="F41" s="486">
        <v>18</v>
      </c>
      <c r="G41" s="515">
        <v>27</v>
      </c>
      <c r="H41" s="247">
        <f t="shared" si="0"/>
        <v>286</v>
      </c>
    </row>
    <row r="42" spans="1:8" ht="15">
      <c r="A42" s="188" t="s">
        <v>553</v>
      </c>
      <c r="B42" s="486">
        <v>176</v>
      </c>
      <c r="C42" s="486">
        <v>349</v>
      </c>
      <c r="D42" s="513">
        <v>524</v>
      </c>
      <c r="E42" s="486">
        <v>430</v>
      </c>
      <c r="F42" s="486">
        <v>951</v>
      </c>
      <c r="G42" s="515">
        <v>1383</v>
      </c>
      <c r="H42" s="247">
        <f t="shared" si="0"/>
        <v>1907</v>
      </c>
    </row>
    <row r="43" spans="1:8" ht="15">
      <c r="A43" s="180" t="s">
        <v>16</v>
      </c>
      <c r="B43" s="515">
        <v>560</v>
      </c>
      <c r="C43" s="486">
        <v>513</v>
      </c>
      <c r="D43" s="513">
        <v>1073</v>
      </c>
      <c r="E43" s="515">
        <v>445</v>
      </c>
      <c r="F43" s="515">
        <v>971</v>
      </c>
      <c r="G43" s="515">
        <v>1415</v>
      </c>
      <c r="H43" s="247">
        <f>D43+G43</f>
        <v>2488</v>
      </c>
    </row>
    <row r="44" spans="1:8" ht="13.5" customHeight="1">
      <c r="A44" s="180"/>
      <c r="B44" s="515"/>
      <c r="C44" s="486"/>
      <c r="D44" s="514"/>
      <c r="E44" s="515"/>
      <c r="F44" s="515"/>
      <c r="G44" s="247"/>
      <c r="H44" s="247"/>
    </row>
    <row r="45" spans="1:10" ht="16.5" customHeight="1">
      <c r="A45" s="293" t="s">
        <v>547</v>
      </c>
      <c r="B45" s="676">
        <v>14216</v>
      </c>
      <c r="C45" s="676">
        <v>33358</v>
      </c>
      <c r="D45" s="677">
        <v>47573</v>
      </c>
      <c r="E45" s="676">
        <v>7999</v>
      </c>
      <c r="F45" s="676">
        <v>18378</v>
      </c>
      <c r="G45" s="678">
        <v>26379</v>
      </c>
      <c r="H45" s="679">
        <f>H43+H37+H30+H25+H18+H11</f>
        <v>73952</v>
      </c>
      <c r="I45" s="176"/>
      <c r="J45" s="26"/>
    </row>
    <row r="46" spans="1:10" ht="120" customHeight="1">
      <c r="A46" s="33"/>
      <c r="B46" s="176"/>
      <c r="C46" s="176"/>
      <c r="D46" s="176"/>
      <c r="E46" s="176"/>
      <c r="F46" s="176"/>
      <c r="G46" s="176"/>
      <c r="H46" s="176"/>
      <c r="I46" s="176"/>
      <c r="J46" s="176"/>
    </row>
    <row r="47" spans="4:7" ht="13.5" customHeight="1">
      <c r="D47" s="26"/>
      <c r="G47" s="26"/>
    </row>
    <row r="48" ht="15" customHeight="1"/>
    <row r="49" ht="15" customHeight="1"/>
    <row r="50" ht="15" customHeight="1"/>
    <row r="51" ht="15" customHeight="1">
      <c r="A51" s="297" t="s">
        <v>306</v>
      </c>
    </row>
    <row r="52" ht="15" customHeight="1"/>
  </sheetData>
  <sheetProtection/>
  <mergeCells count="2">
    <mergeCell ref="B3:C3"/>
    <mergeCell ref="E3:F3"/>
  </mergeCells>
  <printOptions/>
  <pageMargins left="0.75" right="0.75" top="1" bottom="1" header="0.5" footer="0.5"/>
  <pageSetup fitToHeight="1" fitToWidth="1" horizontalDpi="300" verticalDpi="300" orientation="portrait" paperSize="9" scale="62" r:id="rId1"/>
  <headerFooter alignWithMargins="0">
    <oddHeader>&amp;R&amp;"Arial,Bold"&amp;16WATER TRANSPORT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6.8515625" style="180" customWidth="1"/>
    <col min="2" max="2" width="13.28125" style="180" customWidth="1"/>
    <col min="3" max="3" width="14.8515625" style="180" customWidth="1"/>
    <col min="4" max="4" width="10.00390625" style="180" customWidth="1"/>
    <col min="5" max="5" width="4.28125" style="180" customWidth="1"/>
    <col min="6" max="6" width="12.57421875" style="180" customWidth="1"/>
    <col min="7" max="7" width="14.7109375" style="180" customWidth="1"/>
    <col min="8" max="8" width="11.421875" style="180" customWidth="1"/>
    <col min="9" max="9" width="4.28125" style="180" customWidth="1"/>
    <col min="10" max="10" width="13.140625" style="180" customWidth="1"/>
    <col min="11" max="11" width="15.00390625" style="180" customWidth="1"/>
    <col min="12" max="12" width="11.28125" style="180" customWidth="1"/>
    <col min="13" max="13" width="4.28125" style="180" customWidth="1"/>
    <col min="14" max="14" width="30.421875" style="180" customWidth="1"/>
    <col min="15" max="16384" width="9.140625" style="180" customWidth="1"/>
  </cols>
  <sheetData>
    <row r="1" ht="23.25">
      <c r="K1" s="543" t="s">
        <v>39</v>
      </c>
    </row>
    <row r="2" spans="1:2" s="25" customFormat="1" ht="19.5">
      <c r="A2" s="534" t="s">
        <v>6</v>
      </c>
      <c r="B2" s="33"/>
    </row>
    <row r="3" spans="1:2" s="25" customFormat="1" ht="15">
      <c r="A3" s="33"/>
      <c r="B3" s="33"/>
    </row>
    <row r="4" spans="1:12" s="25" customFormat="1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2" customFormat="1" ht="15.75">
      <c r="A5" s="306"/>
      <c r="B5" s="307"/>
      <c r="C5" s="292" t="s">
        <v>337</v>
      </c>
      <c r="D5" s="307"/>
      <c r="E5" s="306"/>
      <c r="F5" s="307"/>
      <c r="G5" s="292" t="s">
        <v>338</v>
      </c>
      <c r="H5" s="307"/>
      <c r="I5" s="306"/>
      <c r="J5" s="307"/>
      <c r="K5" s="292" t="s">
        <v>425</v>
      </c>
      <c r="L5" s="307"/>
    </row>
    <row r="6" spans="1:12" s="25" customFormat="1" ht="15.75">
      <c r="A6" s="308" t="s">
        <v>378</v>
      </c>
      <c r="B6" s="326" t="s">
        <v>377</v>
      </c>
      <c r="C6" s="326" t="s">
        <v>170</v>
      </c>
      <c r="D6" s="326" t="s">
        <v>381</v>
      </c>
      <c r="E6" s="326"/>
      <c r="F6" s="326" t="s">
        <v>377</v>
      </c>
      <c r="G6" s="326" t="s">
        <v>170</v>
      </c>
      <c r="H6" s="326" t="s">
        <v>381</v>
      </c>
      <c r="I6" s="326"/>
      <c r="J6" s="326" t="s">
        <v>377</v>
      </c>
      <c r="K6" s="326" t="s">
        <v>170</v>
      </c>
      <c r="L6" s="326" t="s">
        <v>381</v>
      </c>
    </row>
    <row r="7" spans="1:12" s="25" customFormat="1" ht="15.75">
      <c r="A7" s="309" t="s">
        <v>376</v>
      </c>
      <c r="B7" s="327" t="s">
        <v>78</v>
      </c>
      <c r="C7" s="327" t="s">
        <v>79</v>
      </c>
      <c r="D7" s="327" t="s">
        <v>168</v>
      </c>
      <c r="E7" s="327"/>
      <c r="F7" s="327" t="s">
        <v>78</v>
      </c>
      <c r="G7" s="327" t="s">
        <v>79</v>
      </c>
      <c r="H7" s="327" t="s">
        <v>168</v>
      </c>
      <c r="I7" s="327"/>
      <c r="J7" s="327" t="s">
        <v>78</v>
      </c>
      <c r="K7" s="327" t="s">
        <v>79</v>
      </c>
      <c r="L7" s="327" t="s">
        <v>168</v>
      </c>
    </row>
    <row r="8" spans="1:12" s="25" customFormat="1" ht="18" customHeight="1">
      <c r="A8" s="33"/>
      <c r="B8" s="33"/>
      <c r="L8" s="310" t="s">
        <v>133</v>
      </c>
    </row>
    <row r="9" spans="1:12" ht="15.75">
      <c r="A9" s="37" t="s">
        <v>596</v>
      </c>
      <c r="B9" s="33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9" ht="15.75">
      <c r="A10" s="232" t="s">
        <v>340</v>
      </c>
      <c r="B10" s="516">
        <v>69.673</v>
      </c>
      <c r="C10" s="516">
        <v>1521.368</v>
      </c>
      <c r="D10" s="517">
        <f>SUM(B10:C10)</f>
        <v>1591.041</v>
      </c>
      <c r="E10" s="516"/>
      <c r="F10" s="516">
        <v>36.207</v>
      </c>
      <c r="G10" s="516">
        <v>254.748</v>
      </c>
      <c r="H10" s="517">
        <f aca="true" t="shared" si="0" ref="H10:H26">SUM(F10:G10)</f>
        <v>290.955</v>
      </c>
      <c r="I10" s="516"/>
      <c r="J10" s="516">
        <v>16.221</v>
      </c>
      <c r="K10" s="516">
        <v>15.037</v>
      </c>
      <c r="L10" s="517">
        <f aca="true" t="shared" si="1" ref="L10:L26">SUM(J10:K10)</f>
        <v>31.258000000000003</v>
      </c>
      <c r="M10" s="313"/>
      <c r="O10" s="314"/>
      <c r="Q10" s="313"/>
      <c r="S10" s="313"/>
    </row>
    <row r="11" spans="1:19" ht="15.75">
      <c r="A11" s="232" t="s">
        <v>341</v>
      </c>
      <c r="B11" s="516">
        <v>524.956</v>
      </c>
      <c r="C11" s="516">
        <v>818.788</v>
      </c>
      <c r="D11" s="517">
        <f aca="true" t="shared" si="2" ref="D11:D26">SUM(B11:C11)</f>
        <v>1343.7440000000001</v>
      </c>
      <c r="E11" s="516"/>
      <c r="F11" s="516">
        <v>5.258</v>
      </c>
      <c r="G11" s="516">
        <v>47.835</v>
      </c>
      <c r="H11" s="517">
        <f t="shared" si="0"/>
        <v>53.093</v>
      </c>
      <c r="I11" s="516"/>
      <c r="J11" s="516">
        <v>44.982</v>
      </c>
      <c r="K11" s="516">
        <v>13.79</v>
      </c>
      <c r="L11" s="517">
        <f t="shared" si="1"/>
        <v>58.772</v>
      </c>
      <c r="M11" s="313"/>
      <c r="O11" s="314"/>
      <c r="Q11" s="313"/>
      <c r="S11" s="313"/>
    </row>
    <row r="12" spans="1:19" ht="15.75">
      <c r="A12" s="232" t="s">
        <v>351</v>
      </c>
      <c r="B12" s="516">
        <v>12.075</v>
      </c>
      <c r="C12" s="516">
        <v>0</v>
      </c>
      <c r="D12" s="517">
        <f t="shared" si="2"/>
        <v>12.075</v>
      </c>
      <c r="E12" s="516"/>
      <c r="F12" s="516">
        <v>0</v>
      </c>
      <c r="G12" s="516">
        <v>0</v>
      </c>
      <c r="H12" s="517">
        <f t="shared" si="0"/>
        <v>0</v>
      </c>
      <c r="I12" s="516"/>
      <c r="J12" s="516">
        <v>0</v>
      </c>
      <c r="K12" s="516">
        <v>0</v>
      </c>
      <c r="L12" s="517">
        <f t="shared" si="1"/>
        <v>0</v>
      </c>
      <c r="M12" s="313"/>
      <c r="O12" s="314"/>
      <c r="Q12" s="313"/>
      <c r="S12" s="313"/>
    </row>
    <row r="13" spans="1:19" ht="15.75">
      <c r="A13" s="232" t="s">
        <v>650</v>
      </c>
      <c r="B13" s="516">
        <v>0</v>
      </c>
      <c r="C13" s="516">
        <v>0</v>
      </c>
      <c r="D13" s="517">
        <f t="shared" si="2"/>
        <v>0</v>
      </c>
      <c r="E13" s="516"/>
      <c r="F13" s="516">
        <v>3.009</v>
      </c>
      <c r="G13" s="516">
        <v>0</v>
      </c>
      <c r="H13" s="517">
        <f t="shared" si="0"/>
        <v>3.009</v>
      </c>
      <c r="I13" s="516"/>
      <c r="J13" s="516">
        <v>0.157</v>
      </c>
      <c r="K13" s="516">
        <v>0.715</v>
      </c>
      <c r="L13" s="517">
        <f t="shared" si="1"/>
        <v>0.872</v>
      </c>
      <c r="M13" s="313"/>
      <c r="O13" s="314"/>
      <c r="Q13" s="313"/>
      <c r="S13" s="313"/>
    </row>
    <row r="14" spans="1:19" ht="15.75">
      <c r="A14" s="232" t="s">
        <v>342</v>
      </c>
      <c r="B14" s="516">
        <v>2.27</v>
      </c>
      <c r="C14" s="516">
        <v>38.616</v>
      </c>
      <c r="D14" s="517">
        <f t="shared" si="2"/>
        <v>40.886</v>
      </c>
      <c r="E14" s="516"/>
      <c r="F14" s="516">
        <v>29.334</v>
      </c>
      <c r="G14" s="516">
        <v>0</v>
      </c>
      <c r="H14" s="517">
        <f t="shared" si="0"/>
        <v>29.334</v>
      </c>
      <c r="I14" s="516"/>
      <c r="J14" s="516">
        <v>25.358</v>
      </c>
      <c r="K14" s="516">
        <v>45.42</v>
      </c>
      <c r="L14" s="517">
        <f t="shared" si="1"/>
        <v>70.778</v>
      </c>
      <c r="M14" s="313"/>
      <c r="O14" s="314"/>
      <c r="Q14" s="313"/>
      <c r="S14" s="313"/>
    </row>
    <row r="15" spans="1:19" ht="15.75">
      <c r="A15" s="232" t="s">
        <v>343</v>
      </c>
      <c r="B15" s="516">
        <v>70.836</v>
      </c>
      <c r="C15" s="516">
        <v>2038.372</v>
      </c>
      <c r="D15" s="517">
        <f t="shared" si="2"/>
        <v>2109.208</v>
      </c>
      <c r="E15" s="516"/>
      <c r="F15" s="516">
        <v>133.76</v>
      </c>
      <c r="G15" s="516">
        <v>290.184</v>
      </c>
      <c r="H15" s="517">
        <f t="shared" si="0"/>
        <v>423.944</v>
      </c>
      <c r="I15" s="516"/>
      <c r="J15" s="516">
        <v>37.899</v>
      </c>
      <c r="K15" s="516">
        <v>2.171</v>
      </c>
      <c r="L15" s="517">
        <f t="shared" si="1"/>
        <v>40.07</v>
      </c>
      <c r="M15" s="313"/>
      <c r="O15" s="314"/>
      <c r="Q15" s="313"/>
      <c r="S15" s="313"/>
    </row>
    <row r="16" spans="1:19" ht="15.75">
      <c r="A16" s="232" t="s">
        <v>344</v>
      </c>
      <c r="B16" s="516">
        <v>32.254</v>
      </c>
      <c r="C16" s="516">
        <v>5058.396</v>
      </c>
      <c r="D16" s="517">
        <f t="shared" si="2"/>
        <v>5090.65</v>
      </c>
      <c r="E16" s="516"/>
      <c r="F16" s="516">
        <v>98.891</v>
      </c>
      <c r="G16" s="516">
        <v>1630.965</v>
      </c>
      <c r="H16" s="517">
        <f t="shared" si="0"/>
        <v>1729.856</v>
      </c>
      <c r="I16" s="516"/>
      <c r="J16" s="516">
        <v>45.452</v>
      </c>
      <c r="K16" s="516">
        <v>3.835</v>
      </c>
      <c r="L16" s="517">
        <f t="shared" si="1"/>
        <v>49.287</v>
      </c>
      <c r="M16" s="313"/>
      <c r="O16" s="314"/>
      <c r="Q16" s="313"/>
      <c r="S16" s="313"/>
    </row>
    <row r="17" spans="1:19" ht="15.75">
      <c r="A17" s="232" t="s">
        <v>345</v>
      </c>
      <c r="B17" s="516">
        <v>0</v>
      </c>
      <c r="C17" s="516">
        <v>0</v>
      </c>
      <c r="D17" s="517">
        <f t="shared" si="2"/>
        <v>0</v>
      </c>
      <c r="E17" s="516"/>
      <c r="F17" s="516">
        <v>95.948</v>
      </c>
      <c r="G17" s="516">
        <v>0</v>
      </c>
      <c r="H17" s="517">
        <f t="shared" si="0"/>
        <v>95.948</v>
      </c>
      <c r="I17" s="516"/>
      <c r="J17" s="516">
        <v>25.765</v>
      </c>
      <c r="K17" s="516">
        <v>1.613</v>
      </c>
      <c r="L17" s="517">
        <f t="shared" si="1"/>
        <v>27.378</v>
      </c>
      <c r="M17" s="313"/>
      <c r="O17" s="314"/>
      <c r="Q17" s="313"/>
      <c r="S17" s="313"/>
    </row>
    <row r="18" spans="1:19" ht="15.75">
      <c r="A18" s="232" t="s">
        <v>439</v>
      </c>
      <c r="B18" s="516">
        <v>23.254</v>
      </c>
      <c r="C18" s="516">
        <v>18.215</v>
      </c>
      <c r="D18" s="517">
        <f t="shared" si="2"/>
        <v>41.469</v>
      </c>
      <c r="E18" s="516"/>
      <c r="F18" s="516">
        <v>0</v>
      </c>
      <c r="G18" s="516">
        <v>32.587</v>
      </c>
      <c r="H18" s="517">
        <f t="shared" si="0"/>
        <v>32.587</v>
      </c>
      <c r="I18" s="516"/>
      <c r="J18" s="516">
        <v>0.013</v>
      </c>
      <c r="K18" s="516">
        <v>0</v>
      </c>
      <c r="L18" s="517">
        <f t="shared" si="1"/>
        <v>0.013</v>
      </c>
      <c r="M18" s="313"/>
      <c r="O18" s="314"/>
      <c r="Q18" s="313"/>
      <c r="S18" s="313"/>
    </row>
    <row r="19" spans="1:19" ht="15.75">
      <c r="A19" s="232" t="s">
        <v>346</v>
      </c>
      <c r="B19" s="516">
        <v>0</v>
      </c>
      <c r="C19" s="516">
        <v>708.724</v>
      </c>
      <c r="D19" s="517">
        <f t="shared" si="2"/>
        <v>708.724</v>
      </c>
      <c r="E19" s="516"/>
      <c r="F19" s="516">
        <v>0</v>
      </c>
      <c r="G19" s="516">
        <v>3.49</v>
      </c>
      <c r="H19" s="517">
        <f t="shared" si="0"/>
        <v>3.49</v>
      </c>
      <c r="I19" s="516"/>
      <c r="J19" s="516">
        <v>8.89</v>
      </c>
      <c r="K19" s="516">
        <v>2.592</v>
      </c>
      <c r="L19" s="517">
        <f t="shared" si="1"/>
        <v>11.482000000000001</v>
      </c>
      <c r="M19" s="313"/>
      <c r="O19" s="314"/>
      <c r="Q19" s="313"/>
      <c r="S19" s="313"/>
    </row>
    <row r="20" spans="1:19" ht="15.75">
      <c r="A20" s="232" t="s">
        <v>353</v>
      </c>
      <c r="B20" s="516">
        <v>94.953</v>
      </c>
      <c r="C20" s="516">
        <v>0</v>
      </c>
      <c r="D20" s="517">
        <f t="shared" si="2"/>
        <v>94.953</v>
      </c>
      <c r="E20" s="516"/>
      <c r="F20" s="516">
        <v>147.889</v>
      </c>
      <c r="G20" s="516">
        <v>7.749</v>
      </c>
      <c r="H20" s="517">
        <f t="shared" si="0"/>
        <v>155.638</v>
      </c>
      <c r="I20" s="516"/>
      <c r="J20" s="516">
        <v>23.511</v>
      </c>
      <c r="K20" s="516">
        <v>0</v>
      </c>
      <c r="L20" s="517">
        <f t="shared" si="1"/>
        <v>23.511</v>
      </c>
      <c r="M20" s="313"/>
      <c r="O20" s="314"/>
      <c r="Q20" s="313"/>
      <c r="S20" s="313"/>
    </row>
    <row r="21" spans="1:19" ht="15.75">
      <c r="A21" s="232" t="s">
        <v>354</v>
      </c>
      <c r="B21" s="516">
        <v>0</v>
      </c>
      <c r="C21" s="516">
        <v>0</v>
      </c>
      <c r="D21" s="517">
        <f t="shared" si="2"/>
        <v>0</v>
      </c>
      <c r="E21" s="516"/>
      <c r="F21" s="516">
        <v>1.483</v>
      </c>
      <c r="G21" s="516">
        <v>0</v>
      </c>
      <c r="H21" s="517">
        <f t="shared" si="0"/>
        <v>1.483</v>
      </c>
      <c r="I21" s="516"/>
      <c r="J21" s="516">
        <v>0</v>
      </c>
      <c r="K21" s="516">
        <v>0</v>
      </c>
      <c r="L21" s="517">
        <f t="shared" si="1"/>
        <v>0</v>
      </c>
      <c r="M21" s="313"/>
      <c r="O21" s="314"/>
      <c r="Q21" s="313"/>
      <c r="S21" s="313"/>
    </row>
    <row r="22" spans="1:19" ht="15.75">
      <c r="A22" s="232" t="s">
        <v>347</v>
      </c>
      <c r="B22" s="516">
        <v>596.242</v>
      </c>
      <c r="C22" s="516">
        <v>8348.894</v>
      </c>
      <c r="D22" s="517">
        <f t="shared" si="2"/>
        <v>8945.136</v>
      </c>
      <c r="E22" s="516"/>
      <c r="F22" s="516">
        <v>195.217</v>
      </c>
      <c r="G22" s="516">
        <v>1806.597</v>
      </c>
      <c r="H22" s="517">
        <f t="shared" si="0"/>
        <v>2001.814</v>
      </c>
      <c r="I22" s="516"/>
      <c r="J22" s="516">
        <v>71.62</v>
      </c>
      <c r="K22" s="516">
        <v>18.418</v>
      </c>
      <c r="L22" s="517">
        <f t="shared" si="1"/>
        <v>90.03800000000001</v>
      </c>
      <c r="M22" s="313"/>
      <c r="O22" s="314"/>
      <c r="Q22" s="313"/>
      <c r="S22" s="313"/>
    </row>
    <row r="23" spans="1:19" ht="15.75">
      <c r="A23" s="232" t="s">
        <v>356</v>
      </c>
      <c r="B23" s="516">
        <v>6.991</v>
      </c>
      <c r="C23" s="516">
        <v>468.109</v>
      </c>
      <c r="D23" s="517">
        <f t="shared" si="2"/>
        <v>475.09999999999997</v>
      </c>
      <c r="E23" s="516"/>
      <c r="F23" s="516">
        <v>20.791</v>
      </c>
      <c r="G23" s="516">
        <v>1266.439</v>
      </c>
      <c r="H23" s="517">
        <f t="shared" si="0"/>
        <v>1287.23</v>
      </c>
      <c r="I23" s="516"/>
      <c r="J23" s="516">
        <v>0.1</v>
      </c>
      <c r="K23" s="516">
        <v>0.267</v>
      </c>
      <c r="L23" s="517">
        <f t="shared" si="1"/>
        <v>0.367</v>
      </c>
      <c r="M23" s="313"/>
      <c r="O23" s="314"/>
      <c r="Q23" s="313"/>
      <c r="S23" s="313"/>
    </row>
    <row r="24" spans="1:19" ht="15.75">
      <c r="A24" s="232" t="s">
        <v>348</v>
      </c>
      <c r="B24" s="516">
        <v>0</v>
      </c>
      <c r="C24" s="516">
        <v>13.068</v>
      </c>
      <c r="D24" s="517">
        <f t="shared" si="2"/>
        <v>13.068</v>
      </c>
      <c r="E24" s="516"/>
      <c r="F24" s="516">
        <v>0</v>
      </c>
      <c r="G24" s="516">
        <v>61.417</v>
      </c>
      <c r="H24" s="517">
        <f t="shared" si="0"/>
        <v>61.417</v>
      </c>
      <c r="I24" s="516"/>
      <c r="J24" s="516">
        <v>0</v>
      </c>
      <c r="K24" s="516">
        <v>0</v>
      </c>
      <c r="L24" s="517">
        <f t="shared" si="1"/>
        <v>0</v>
      </c>
      <c r="M24" s="313"/>
      <c r="O24" s="314"/>
      <c r="Q24" s="313"/>
      <c r="S24" s="313"/>
    </row>
    <row r="25" spans="1:19" ht="15.75">
      <c r="A25" s="232" t="s">
        <v>397</v>
      </c>
      <c r="B25" s="516">
        <v>26.425</v>
      </c>
      <c r="C25" s="516">
        <v>190.939</v>
      </c>
      <c r="D25" s="517">
        <f t="shared" si="2"/>
        <v>217.364</v>
      </c>
      <c r="E25" s="516"/>
      <c r="F25" s="516">
        <v>74.508</v>
      </c>
      <c r="G25" s="516">
        <v>423.242</v>
      </c>
      <c r="H25" s="517">
        <f t="shared" si="0"/>
        <v>497.75</v>
      </c>
      <c r="I25" s="516"/>
      <c r="J25" s="516">
        <v>27.134</v>
      </c>
      <c r="K25" s="516">
        <v>13.835</v>
      </c>
      <c r="L25" s="517">
        <f t="shared" si="1"/>
        <v>40.969</v>
      </c>
      <c r="M25" s="313"/>
      <c r="O25" s="314"/>
      <c r="Q25" s="313"/>
      <c r="S25" s="313"/>
    </row>
    <row r="26" spans="1:19" ht="15.75">
      <c r="A26" s="232" t="s">
        <v>349</v>
      </c>
      <c r="B26" s="516">
        <v>844.764</v>
      </c>
      <c r="C26" s="516">
        <v>745.003</v>
      </c>
      <c r="D26" s="517">
        <f t="shared" si="2"/>
        <v>1589.767</v>
      </c>
      <c r="E26" s="516"/>
      <c r="F26" s="516">
        <v>17.073</v>
      </c>
      <c r="G26" s="516">
        <v>6.454</v>
      </c>
      <c r="H26" s="517">
        <f t="shared" si="0"/>
        <v>23.527</v>
      </c>
      <c r="I26" s="516"/>
      <c r="J26" s="516">
        <v>38.887</v>
      </c>
      <c r="K26" s="516">
        <v>30.849</v>
      </c>
      <c r="L26" s="517">
        <f t="shared" si="1"/>
        <v>69.736</v>
      </c>
      <c r="M26" s="313"/>
      <c r="O26" s="314"/>
      <c r="Q26" s="313"/>
      <c r="S26" s="313"/>
    </row>
    <row r="27" spans="1:12" ht="6" customHeight="1">
      <c r="A27" s="315"/>
      <c r="B27" s="516"/>
      <c r="C27" s="516"/>
      <c r="D27" s="517"/>
      <c r="E27" s="516"/>
      <c r="F27" s="516"/>
      <c r="G27" s="516"/>
      <c r="H27" s="517"/>
      <c r="I27" s="516"/>
      <c r="J27" s="516"/>
      <c r="K27" s="516"/>
      <c r="L27" s="517"/>
    </row>
    <row r="28" spans="1:12" ht="15.75">
      <c r="A28" s="37" t="s">
        <v>595</v>
      </c>
      <c r="B28" s="517">
        <f>SUM(B10:B26)</f>
        <v>2304.6929999999998</v>
      </c>
      <c r="C28" s="517">
        <f aca="true" t="shared" si="3" ref="C28:L28">SUM(C10:C26)</f>
        <v>19968.492</v>
      </c>
      <c r="D28" s="517">
        <f t="shared" si="3"/>
        <v>22273.184999999998</v>
      </c>
      <c r="E28" s="517"/>
      <c r="F28" s="517">
        <f t="shared" si="3"/>
        <v>859.368</v>
      </c>
      <c r="G28" s="517">
        <f t="shared" si="3"/>
        <v>5831.707</v>
      </c>
      <c r="H28" s="517">
        <f t="shared" si="3"/>
        <v>6691.075</v>
      </c>
      <c r="I28" s="517"/>
      <c r="J28" s="517">
        <f t="shared" si="3"/>
        <v>365.9890000000001</v>
      </c>
      <c r="K28" s="517">
        <f t="shared" si="3"/>
        <v>148.542</v>
      </c>
      <c r="L28" s="517">
        <f t="shared" si="3"/>
        <v>514.5310000000001</v>
      </c>
    </row>
    <row r="29" spans="1:12" ht="6" customHeight="1">
      <c r="A29" s="33"/>
      <c r="B29" s="516"/>
      <c r="C29" s="516"/>
      <c r="D29" s="517"/>
      <c r="E29" s="516"/>
      <c r="F29" s="516"/>
      <c r="G29" s="516"/>
      <c r="H29" s="517"/>
      <c r="I29" s="516"/>
      <c r="J29" s="516"/>
      <c r="K29" s="516"/>
      <c r="L29" s="517"/>
    </row>
    <row r="30" spans="1:12" ht="15.75">
      <c r="A30" s="37" t="s">
        <v>387</v>
      </c>
      <c r="B30" s="516"/>
      <c r="C30" s="516"/>
      <c r="D30" s="517"/>
      <c r="E30" s="516"/>
      <c r="F30" s="516"/>
      <c r="G30" s="516"/>
      <c r="H30" s="517"/>
      <c r="I30" s="516"/>
      <c r="J30" s="516"/>
      <c r="K30" s="516"/>
      <c r="L30" s="517"/>
    </row>
    <row r="31" spans="1:19" ht="15.75">
      <c r="A31" s="232" t="s">
        <v>440</v>
      </c>
      <c r="B31" s="516">
        <v>99.478</v>
      </c>
      <c r="C31" s="516">
        <v>0</v>
      </c>
      <c r="D31" s="517">
        <f aca="true" t="shared" si="4" ref="D31:D41">SUM(B31:C31)</f>
        <v>99.478</v>
      </c>
      <c r="E31" s="516"/>
      <c r="F31" s="516">
        <v>0</v>
      </c>
      <c r="G31" s="516">
        <v>0</v>
      </c>
      <c r="H31" s="517">
        <f aca="true" t="shared" si="5" ref="H31:H41">SUM(F31:G31)</f>
        <v>0</v>
      </c>
      <c r="I31" s="516"/>
      <c r="J31" s="516">
        <v>0</v>
      </c>
      <c r="K31" s="516">
        <v>0</v>
      </c>
      <c r="L31" s="517">
        <f aca="true" t="shared" si="6" ref="L31:L41">SUM(J31:K31)</f>
        <v>0</v>
      </c>
      <c r="M31" s="313"/>
      <c r="O31" s="314"/>
      <c r="Q31" s="313"/>
      <c r="S31" s="313"/>
    </row>
    <row r="32" spans="1:19" ht="15.75">
      <c r="A32" s="232" t="s">
        <v>350</v>
      </c>
      <c r="B32" s="516">
        <v>11.911</v>
      </c>
      <c r="C32" s="516">
        <v>7.951</v>
      </c>
      <c r="D32" s="517">
        <f t="shared" si="4"/>
        <v>19.862</v>
      </c>
      <c r="E32" s="516"/>
      <c r="F32" s="516">
        <v>59.524</v>
      </c>
      <c r="G32" s="516">
        <v>20.7</v>
      </c>
      <c r="H32" s="517">
        <f t="shared" si="5"/>
        <v>80.224</v>
      </c>
      <c r="I32" s="516"/>
      <c r="J32" s="516">
        <v>0.429</v>
      </c>
      <c r="K32" s="516">
        <v>0</v>
      </c>
      <c r="L32" s="517">
        <f t="shared" si="6"/>
        <v>0.429</v>
      </c>
      <c r="M32" s="313"/>
      <c r="O32" s="314"/>
      <c r="Q32" s="313"/>
      <c r="S32" s="313"/>
    </row>
    <row r="33" spans="1:19" ht="15.75">
      <c r="A33" s="232" t="s">
        <v>569</v>
      </c>
      <c r="B33" s="516">
        <v>2.471</v>
      </c>
      <c r="C33" s="516">
        <v>0</v>
      </c>
      <c r="D33" s="517">
        <f t="shared" si="4"/>
        <v>2.471</v>
      </c>
      <c r="E33" s="516"/>
      <c r="F33" s="516">
        <v>2.901</v>
      </c>
      <c r="G33" s="516">
        <v>0</v>
      </c>
      <c r="H33" s="517">
        <f t="shared" si="5"/>
        <v>2.901</v>
      </c>
      <c r="I33" s="516"/>
      <c r="J33" s="516">
        <v>0</v>
      </c>
      <c r="K33" s="516">
        <v>0</v>
      </c>
      <c r="L33" s="517">
        <f t="shared" si="6"/>
        <v>0</v>
      </c>
      <c r="M33" s="313"/>
      <c r="O33" s="314"/>
      <c r="Q33" s="313"/>
      <c r="S33" s="313"/>
    </row>
    <row r="34" spans="1:19" ht="15.75">
      <c r="A34" s="232" t="s">
        <v>352</v>
      </c>
      <c r="B34" s="516">
        <v>0</v>
      </c>
      <c r="C34" s="516">
        <v>0</v>
      </c>
      <c r="D34" s="517">
        <f t="shared" si="4"/>
        <v>0</v>
      </c>
      <c r="E34" s="516"/>
      <c r="F34" s="516">
        <v>0</v>
      </c>
      <c r="G34" s="516">
        <v>0</v>
      </c>
      <c r="H34" s="517">
        <f t="shared" si="5"/>
        <v>0</v>
      </c>
      <c r="I34" s="516"/>
      <c r="J34" s="516">
        <v>0</v>
      </c>
      <c r="K34" s="516">
        <v>0</v>
      </c>
      <c r="L34" s="517">
        <f t="shared" si="6"/>
        <v>0</v>
      </c>
      <c r="M34" s="313"/>
      <c r="O34" s="314"/>
      <c r="Q34" s="313"/>
      <c r="S34" s="313"/>
    </row>
    <row r="35" spans="1:19" ht="15.75">
      <c r="A35" s="232" t="s">
        <v>442</v>
      </c>
      <c r="B35" s="516">
        <v>0</v>
      </c>
      <c r="C35" s="516">
        <v>97.458</v>
      </c>
      <c r="D35" s="517">
        <f t="shared" si="4"/>
        <v>97.458</v>
      </c>
      <c r="E35" s="516"/>
      <c r="F35" s="516">
        <v>0</v>
      </c>
      <c r="G35" s="516">
        <v>0</v>
      </c>
      <c r="H35" s="517">
        <f t="shared" si="5"/>
        <v>0</v>
      </c>
      <c r="I35" s="516"/>
      <c r="J35" s="516">
        <v>0.748</v>
      </c>
      <c r="K35" s="516">
        <v>1.691</v>
      </c>
      <c r="L35" s="517">
        <f t="shared" si="6"/>
        <v>2.439</v>
      </c>
      <c r="M35" s="313"/>
      <c r="O35" s="314"/>
      <c r="Q35" s="313"/>
      <c r="S35" s="313"/>
    </row>
    <row r="36" spans="1:19" ht="15.75">
      <c r="A36" s="232" t="s">
        <v>355</v>
      </c>
      <c r="B36" s="516">
        <v>0</v>
      </c>
      <c r="C36" s="516">
        <v>42.992</v>
      </c>
      <c r="D36" s="517">
        <f t="shared" si="4"/>
        <v>42.992</v>
      </c>
      <c r="E36" s="516"/>
      <c r="F36" s="516">
        <v>131.947</v>
      </c>
      <c r="G36" s="516">
        <v>0</v>
      </c>
      <c r="H36" s="517">
        <f t="shared" si="5"/>
        <v>131.947</v>
      </c>
      <c r="I36" s="516"/>
      <c r="J36" s="516">
        <v>3.557</v>
      </c>
      <c r="K36" s="516">
        <v>0</v>
      </c>
      <c r="L36" s="517">
        <f t="shared" si="6"/>
        <v>3.557</v>
      </c>
      <c r="M36" s="313"/>
      <c r="O36" s="314"/>
      <c r="Q36" s="313"/>
      <c r="S36" s="313"/>
    </row>
    <row r="37" spans="1:19" ht="15.75">
      <c r="A37" s="232" t="s">
        <v>651</v>
      </c>
      <c r="B37" s="516">
        <v>1712.327</v>
      </c>
      <c r="C37" s="516">
        <v>307.577</v>
      </c>
      <c r="D37" s="517">
        <f t="shared" si="4"/>
        <v>2019.904</v>
      </c>
      <c r="E37" s="516"/>
      <c r="F37" s="516">
        <v>121.622</v>
      </c>
      <c r="G37" s="516">
        <v>17.834</v>
      </c>
      <c r="H37" s="517">
        <f t="shared" si="5"/>
        <v>139.456</v>
      </c>
      <c r="I37" s="516"/>
      <c r="J37" s="516">
        <v>101.562</v>
      </c>
      <c r="K37" s="516">
        <v>244.763</v>
      </c>
      <c r="L37" s="517">
        <f t="shared" si="6"/>
        <v>346.325</v>
      </c>
      <c r="M37" s="313"/>
      <c r="O37" s="314"/>
      <c r="Q37" s="313"/>
      <c r="S37" s="313"/>
    </row>
    <row r="38" spans="1:19" ht="15.75">
      <c r="A38" s="232" t="s">
        <v>357</v>
      </c>
      <c r="B38" s="516">
        <v>120.172</v>
      </c>
      <c r="C38" s="516">
        <v>6.69</v>
      </c>
      <c r="D38" s="517">
        <f t="shared" si="4"/>
        <v>126.862</v>
      </c>
      <c r="E38" s="516"/>
      <c r="F38" s="516">
        <v>2028.66</v>
      </c>
      <c r="G38" s="516">
        <v>0</v>
      </c>
      <c r="H38" s="517">
        <f t="shared" si="5"/>
        <v>2028.66</v>
      </c>
      <c r="I38" s="516"/>
      <c r="J38" s="516">
        <v>0</v>
      </c>
      <c r="K38" s="516">
        <v>11.869</v>
      </c>
      <c r="L38" s="517">
        <f t="shared" si="6"/>
        <v>11.869</v>
      </c>
      <c r="M38" s="313"/>
      <c r="O38" s="314"/>
      <c r="Q38" s="313"/>
      <c r="S38" s="313"/>
    </row>
    <row r="39" spans="1:19" ht="15.75">
      <c r="A39" s="232" t="s">
        <v>570</v>
      </c>
      <c r="B39" s="516">
        <v>0</v>
      </c>
      <c r="C39" s="516">
        <v>0</v>
      </c>
      <c r="D39" s="517">
        <f t="shared" si="4"/>
        <v>0</v>
      </c>
      <c r="E39" s="516"/>
      <c r="F39" s="516">
        <v>32.256</v>
      </c>
      <c r="G39" s="516">
        <v>0</v>
      </c>
      <c r="H39" s="517">
        <f t="shared" si="5"/>
        <v>32.256</v>
      </c>
      <c r="I39" s="516"/>
      <c r="J39" s="516">
        <v>11.582</v>
      </c>
      <c r="K39" s="516">
        <v>0.485</v>
      </c>
      <c r="L39" s="517">
        <f t="shared" si="6"/>
        <v>12.067</v>
      </c>
      <c r="M39" s="313"/>
      <c r="O39" s="314"/>
      <c r="Q39" s="313"/>
      <c r="S39" s="313"/>
    </row>
    <row r="40" spans="1:19" ht="15.75">
      <c r="A40" s="232" t="s">
        <v>358</v>
      </c>
      <c r="B40" s="516">
        <v>0</v>
      </c>
      <c r="C40" s="516">
        <v>0</v>
      </c>
      <c r="D40" s="517">
        <f t="shared" si="4"/>
        <v>0</v>
      </c>
      <c r="E40" s="516"/>
      <c r="F40" s="516">
        <v>44.813</v>
      </c>
      <c r="G40" s="516">
        <v>0</v>
      </c>
      <c r="H40" s="517">
        <f t="shared" si="5"/>
        <v>44.813</v>
      </c>
      <c r="I40" s="516"/>
      <c r="J40" s="516">
        <v>0.173</v>
      </c>
      <c r="K40" s="516">
        <v>0</v>
      </c>
      <c r="L40" s="517">
        <f t="shared" si="6"/>
        <v>0.173</v>
      </c>
      <c r="M40" s="313"/>
      <c r="O40" s="314"/>
      <c r="Q40" s="313"/>
      <c r="S40" s="313"/>
    </row>
    <row r="41" spans="1:19" ht="15.75">
      <c r="A41" s="232" t="s">
        <v>624</v>
      </c>
      <c r="B41" s="516">
        <v>0</v>
      </c>
      <c r="C41" s="516">
        <v>0</v>
      </c>
      <c r="D41" s="517">
        <f t="shared" si="4"/>
        <v>0</v>
      </c>
      <c r="E41" s="516"/>
      <c r="F41" s="516">
        <v>34.68</v>
      </c>
      <c r="G41" s="516">
        <v>0</v>
      </c>
      <c r="H41" s="517">
        <f t="shared" si="5"/>
        <v>34.68</v>
      </c>
      <c r="I41" s="516"/>
      <c r="J41" s="516">
        <v>0</v>
      </c>
      <c r="K41" s="516">
        <v>0</v>
      </c>
      <c r="L41" s="517">
        <f t="shared" si="6"/>
        <v>0</v>
      </c>
      <c r="M41" s="313"/>
      <c r="O41" s="314"/>
      <c r="Q41" s="313"/>
      <c r="S41" s="313"/>
    </row>
    <row r="42" spans="1:19" ht="15.75">
      <c r="A42" s="37" t="s">
        <v>493</v>
      </c>
      <c r="B42" s="517">
        <f>SUM(B31:B41)</f>
        <v>1946.359</v>
      </c>
      <c r="C42" s="517">
        <f aca="true" t="shared" si="7" ref="C42:L42">SUM(C31:C41)</f>
        <v>462.66799999999995</v>
      </c>
      <c r="D42" s="517">
        <f t="shared" si="7"/>
        <v>2409.027</v>
      </c>
      <c r="E42" s="517"/>
      <c r="F42" s="517">
        <f t="shared" si="7"/>
        <v>2456.403</v>
      </c>
      <c r="G42" s="517">
        <f t="shared" si="7"/>
        <v>38.534</v>
      </c>
      <c r="H42" s="517">
        <f t="shared" si="7"/>
        <v>2494.937</v>
      </c>
      <c r="I42" s="517"/>
      <c r="J42" s="517">
        <f t="shared" si="7"/>
        <v>118.05099999999999</v>
      </c>
      <c r="K42" s="517">
        <f t="shared" si="7"/>
        <v>258.808</v>
      </c>
      <c r="L42" s="517">
        <f t="shared" si="7"/>
        <v>376.85900000000004</v>
      </c>
      <c r="M42" s="311"/>
      <c r="O42" s="314"/>
      <c r="Q42" s="313"/>
      <c r="S42" s="313"/>
    </row>
    <row r="43" spans="1:12" s="2" customFormat="1" ht="6" customHeight="1">
      <c r="A43" s="37"/>
      <c r="B43" s="516"/>
      <c r="C43" s="516"/>
      <c r="D43" s="517"/>
      <c r="E43" s="516"/>
      <c r="F43" s="516"/>
      <c r="G43" s="516"/>
      <c r="H43" s="517"/>
      <c r="I43" s="516"/>
      <c r="J43" s="516"/>
      <c r="K43" s="516"/>
      <c r="L43" s="517"/>
    </row>
    <row r="44" spans="1:12" ht="15.75">
      <c r="A44" s="37" t="s">
        <v>443</v>
      </c>
      <c r="B44" s="516"/>
      <c r="C44" s="516"/>
      <c r="D44" s="517"/>
      <c r="E44" s="516"/>
      <c r="F44" s="516"/>
      <c r="G44" s="516"/>
      <c r="H44" s="517"/>
      <c r="I44" s="516"/>
      <c r="J44" s="516"/>
      <c r="K44" s="516"/>
      <c r="L44" s="517"/>
    </row>
    <row r="45" spans="1:12" ht="15">
      <c r="A45" s="33" t="s">
        <v>643</v>
      </c>
      <c r="B45" s="516">
        <v>0</v>
      </c>
      <c r="C45" s="516">
        <v>0</v>
      </c>
      <c r="D45" s="517"/>
      <c r="E45" s="516"/>
      <c r="F45" s="516">
        <v>0</v>
      </c>
      <c r="G45" s="516">
        <v>0</v>
      </c>
      <c r="H45" s="517"/>
      <c r="I45" s="516"/>
      <c r="J45" s="516">
        <v>0.051</v>
      </c>
      <c r="K45" s="516">
        <v>3.12</v>
      </c>
      <c r="L45" s="517">
        <f aca="true" t="shared" si="8" ref="L45:L52">SUM(J45:K45)</f>
        <v>3.1710000000000003</v>
      </c>
    </row>
    <row r="46" spans="1:12" ht="15">
      <c r="A46" s="33" t="s">
        <v>571</v>
      </c>
      <c r="B46" s="516">
        <v>0</v>
      </c>
      <c r="C46" s="516">
        <v>0</v>
      </c>
      <c r="D46" s="517"/>
      <c r="E46" s="516"/>
      <c r="F46" s="516">
        <v>0</v>
      </c>
      <c r="G46" s="516">
        <v>0</v>
      </c>
      <c r="H46" s="517"/>
      <c r="I46" s="516"/>
      <c r="J46" s="516">
        <v>2.951</v>
      </c>
      <c r="K46" s="516">
        <v>8.229</v>
      </c>
      <c r="L46" s="517">
        <f t="shared" si="8"/>
        <v>11.18</v>
      </c>
    </row>
    <row r="47" spans="1:12" ht="15">
      <c r="A47" s="33" t="s">
        <v>644</v>
      </c>
      <c r="B47" s="516">
        <v>0</v>
      </c>
      <c r="C47" s="516">
        <v>0</v>
      </c>
      <c r="D47" s="517"/>
      <c r="E47" s="516"/>
      <c r="F47" s="516">
        <v>0</v>
      </c>
      <c r="G47" s="516">
        <v>0</v>
      </c>
      <c r="H47" s="517"/>
      <c r="I47" s="516"/>
      <c r="J47" s="516">
        <v>1.238</v>
      </c>
      <c r="K47" s="516">
        <v>0.202</v>
      </c>
      <c r="L47" s="517">
        <f t="shared" si="8"/>
        <v>1.44</v>
      </c>
    </row>
    <row r="48" spans="1:12" ht="15">
      <c r="A48" s="33" t="s">
        <v>38</v>
      </c>
      <c r="B48" s="516">
        <v>0</v>
      </c>
      <c r="C48" s="516">
        <v>0</v>
      </c>
      <c r="D48" s="517"/>
      <c r="E48" s="516"/>
      <c r="F48" s="516">
        <v>0</v>
      </c>
      <c r="G48" s="516">
        <v>0</v>
      </c>
      <c r="H48" s="517"/>
      <c r="I48" s="516"/>
      <c r="J48" s="516">
        <v>0.294</v>
      </c>
      <c r="K48" s="516">
        <v>0.885</v>
      </c>
      <c r="L48" s="517">
        <f t="shared" si="8"/>
        <v>1.179</v>
      </c>
    </row>
    <row r="49" spans="1:12" ht="15">
      <c r="A49" s="232" t="s">
        <v>17</v>
      </c>
      <c r="B49" s="516">
        <v>0</v>
      </c>
      <c r="C49" s="516">
        <v>0</v>
      </c>
      <c r="D49" s="517"/>
      <c r="E49" s="516"/>
      <c r="F49" s="516">
        <v>0</v>
      </c>
      <c r="G49" s="516">
        <v>0</v>
      </c>
      <c r="H49" s="517"/>
      <c r="I49" s="516"/>
      <c r="J49" s="516">
        <v>0.007</v>
      </c>
      <c r="K49" s="516">
        <v>0.83</v>
      </c>
      <c r="L49" s="517">
        <f t="shared" si="8"/>
        <v>0.837</v>
      </c>
    </row>
    <row r="50" spans="1:12" ht="15">
      <c r="A50" s="232" t="s">
        <v>18</v>
      </c>
      <c r="B50" s="516">
        <v>0</v>
      </c>
      <c r="C50" s="516">
        <v>0</v>
      </c>
      <c r="D50" s="517"/>
      <c r="E50" s="516"/>
      <c r="F50" s="516">
        <v>0</v>
      </c>
      <c r="G50" s="516">
        <v>0</v>
      </c>
      <c r="H50" s="517"/>
      <c r="I50" s="516"/>
      <c r="J50" s="516">
        <v>0.507</v>
      </c>
      <c r="K50" s="516">
        <v>19.565</v>
      </c>
      <c r="L50" s="517">
        <f t="shared" si="8"/>
        <v>20.072000000000003</v>
      </c>
    </row>
    <row r="51" spans="1:12" ht="15">
      <c r="A51" s="232" t="s">
        <v>364</v>
      </c>
      <c r="B51" s="516">
        <v>1365.737</v>
      </c>
      <c r="C51" s="516">
        <v>0</v>
      </c>
      <c r="D51" s="517"/>
      <c r="E51" s="516"/>
      <c r="F51" s="516">
        <v>0</v>
      </c>
      <c r="G51" s="516">
        <v>0</v>
      </c>
      <c r="H51" s="517"/>
      <c r="I51" s="516"/>
      <c r="J51" s="516">
        <v>0.281</v>
      </c>
      <c r="K51" s="516">
        <v>14.523</v>
      </c>
      <c r="L51" s="517">
        <f t="shared" si="8"/>
        <v>14.804</v>
      </c>
    </row>
    <row r="52" spans="1:12" ht="15">
      <c r="A52" s="232" t="s">
        <v>365</v>
      </c>
      <c r="B52" s="516">
        <v>0</v>
      </c>
      <c r="C52" s="516">
        <v>58.996</v>
      </c>
      <c r="D52" s="517"/>
      <c r="E52" s="516"/>
      <c r="F52" s="516">
        <v>0</v>
      </c>
      <c r="G52" s="516">
        <v>0</v>
      </c>
      <c r="H52" s="517"/>
      <c r="I52" s="516"/>
      <c r="J52" s="516">
        <v>3.5</v>
      </c>
      <c r="K52" s="516">
        <v>34.289</v>
      </c>
      <c r="L52" s="517">
        <f t="shared" si="8"/>
        <v>37.789</v>
      </c>
    </row>
    <row r="53" spans="1:19" ht="15.75">
      <c r="A53" s="315" t="s">
        <v>494</v>
      </c>
      <c r="B53" s="517">
        <f>SUM(B45:B52)</f>
        <v>1365.737</v>
      </c>
      <c r="C53" s="517">
        <f>SUM(C45:C52)</f>
        <v>58.996</v>
      </c>
      <c r="D53" s="517"/>
      <c r="E53" s="517"/>
      <c r="F53" s="517">
        <f>SUM(F45:F52)</f>
        <v>0</v>
      </c>
      <c r="G53" s="517">
        <f>SUM(G45:G52)</f>
        <v>0</v>
      </c>
      <c r="H53" s="517"/>
      <c r="I53" s="517"/>
      <c r="J53" s="517">
        <f>SUM(J45:J52)</f>
        <v>8.828999999999999</v>
      </c>
      <c r="K53" s="517">
        <f>SUM(K45:K52)</f>
        <v>81.643</v>
      </c>
      <c r="L53" s="517">
        <f>SUM(L45:L52)</f>
        <v>90.47200000000001</v>
      </c>
      <c r="M53" s="313"/>
      <c r="O53" s="314"/>
      <c r="Q53" s="313"/>
      <c r="S53" s="313"/>
    </row>
    <row r="54" spans="1:12" ht="6" customHeight="1">
      <c r="A54" s="143"/>
      <c r="B54" s="516"/>
      <c r="C54" s="516"/>
      <c r="D54" s="517"/>
      <c r="E54" s="516"/>
      <c r="F54" s="516"/>
      <c r="G54" s="516"/>
      <c r="H54" s="517"/>
      <c r="I54" s="516"/>
      <c r="J54" s="516"/>
      <c r="K54" s="516"/>
      <c r="L54" s="517"/>
    </row>
    <row r="55" spans="1:12" ht="15.75">
      <c r="A55" s="315" t="s">
        <v>444</v>
      </c>
      <c r="B55" s="516"/>
      <c r="C55" s="516"/>
      <c r="D55" s="517"/>
      <c r="E55" s="516"/>
      <c r="F55" s="516"/>
      <c r="G55" s="516"/>
      <c r="H55" s="517"/>
      <c r="I55" s="516"/>
      <c r="J55" s="516"/>
      <c r="K55" s="516"/>
      <c r="L55" s="517"/>
    </row>
    <row r="56" spans="1:19" ht="15.75">
      <c r="A56" s="180" t="s">
        <v>645</v>
      </c>
      <c r="B56" s="516">
        <v>0</v>
      </c>
      <c r="C56" s="516">
        <v>154.827</v>
      </c>
      <c r="D56" s="517">
        <f aca="true" t="shared" si="9" ref="D56:D65">SUM(B56:C56)</f>
        <v>154.827</v>
      </c>
      <c r="E56" s="516"/>
      <c r="F56" s="516">
        <v>47.692</v>
      </c>
      <c r="G56" s="516">
        <v>0</v>
      </c>
      <c r="H56" s="517">
        <f aca="true" t="shared" si="10" ref="H56:H65">SUM(F56:G56)</f>
        <v>47.692</v>
      </c>
      <c r="I56" s="516"/>
      <c r="J56" s="516">
        <v>6.928</v>
      </c>
      <c r="K56" s="516">
        <v>5.93</v>
      </c>
      <c r="L56" s="517">
        <f aca="true" t="shared" si="11" ref="L56:L65">SUM(J56:K56)</f>
        <v>12.858</v>
      </c>
      <c r="M56" s="313"/>
      <c r="O56" s="314"/>
      <c r="Q56" s="313"/>
      <c r="S56" s="313"/>
    </row>
    <row r="57" spans="1:19" ht="15.75">
      <c r="A57" s="180" t="s">
        <v>572</v>
      </c>
      <c r="B57" s="516">
        <v>0</v>
      </c>
      <c r="C57" s="516">
        <v>9.435</v>
      </c>
      <c r="D57" s="517">
        <f t="shared" si="9"/>
        <v>9.435</v>
      </c>
      <c r="E57" s="516"/>
      <c r="F57" s="516">
        <v>28.983</v>
      </c>
      <c r="G57" s="516">
        <v>0</v>
      </c>
      <c r="H57" s="517">
        <f t="shared" si="10"/>
        <v>28.983</v>
      </c>
      <c r="I57" s="516"/>
      <c r="J57" s="516">
        <v>0</v>
      </c>
      <c r="K57" s="516">
        <v>0</v>
      </c>
      <c r="L57" s="517">
        <f t="shared" si="11"/>
        <v>0</v>
      </c>
      <c r="M57" s="313"/>
      <c r="O57" s="314"/>
      <c r="Q57" s="313"/>
      <c r="S57" s="313"/>
    </row>
    <row r="58" spans="1:19" ht="15.75">
      <c r="A58" s="180" t="s">
        <v>359</v>
      </c>
      <c r="B58" s="516">
        <v>0</v>
      </c>
      <c r="C58" s="516">
        <v>0</v>
      </c>
      <c r="D58" s="517">
        <f t="shared" si="9"/>
        <v>0</v>
      </c>
      <c r="E58" s="516"/>
      <c r="F58" s="516">
        <v>105.565</v>
      </c>
      <c r="G58" s="516">
        <v>0</v>
      </c>
      <c r="H58" s="517">
        <f t="shared" si="10"/>
        <v>105.565</v>
      </c>
      <c r="I58" s="516"/>
      <c r="J58" s="516">
        <v>0</v>
      </c>
      <c r="K58" s="516">
        <v>3.784</v>
      </c>
      <c r="L58" s="517">
        <f t="shared" si="11"/>
        <v>3.784</v>
      </c>
      <c r="M58" s="313"/>
      <c r="O58" s="314"/>
      <c r="Q58" s="313"/>
      <c r="S58" s="313"/>
    </row>
    <row r="59" spans="1:19" ht="15.75">
      <c r="A59" s="180" t="s">
        <v>360</v>
      </c>
      <c r="B59" s="516">
        <v>0</v>
      </c>
      <c r="C59" s="516">
        <v>597.198</v>
      </c>
      <c r="D59" s="517">
        <f t="shared" si="9"/>
        <v>597.198</v>
      </c>
      <c r="E59" s="516"/>
      <c r="F59" s="516">
        <v>0</v>
      </c>
      <c r="G59" s="516">
        <v>0</v>
      </c>
      <c r="H59" s="517">
        <f t="shared" si="10"/>
        <v>0</v>
      </c>
      <c r="I59" s="516"/>
      <c r="J59" s="516">
        <v>1.207</v>
      </c>
      <c r="K59" s="516">
        <v>8.228</v>
      </c>
      <c r="L59" s="517">
        <f t="shared" si="11"/>
        <v>9.435</v>
      </c>
      <c r="M59" s="313"/>
      <c r="O59" s="314"/>
      <c r="Q59" s="313"/>
      <c r="S59" s="313"/>
    </row>
    <row r="60" spans="1:19" ht="15.75">
      <c r="A60" s="180" t="s">
        <v>590</v>
      </c>
      <c r="B60" s="516">
        <v>0</v>
      </c>
      <c r="C60" s="516">
        <v>461.716</v>
      </c>
      <c r="D60" s="517">
        <f t="shared" si="9"/>
        <v>461.716</v>
      </c>
      <c r="E60" s="516"/>
      <c r="F60" s="516">
        <v>68.359</v>
      </c>
      <c r="G60" s="516">
        <v>0</v>
      </c>
      <c r="H60" s="517">
        <f t="shared" si="10"/>
        <v>68.359</v>
      </c>
      <c r="I60" s="516"/>
      <c r="J60" s="516">
        <v>0</v>
      </c>
      <c r="K60" s="516">
        <v>0</v>
      </c>
      <c r="L60" s="517">
        <f t="shared" si="11"/>
        <v>0</v>
      </c>
      <c r="M60" s="313"/>
      <c r="O60" s="314"/>
      <c r="Q60" s="313"/>
      <c r="S60" s="313"/>
    </row>
    <row r="61" spans="1:19" ht="15.75">
      <c r="A61" s="180" t="s">
        <v>362</v>
      </c>
      <c r="B61" s="516">
        <v>0</v>
      </c>
      <c r="C61" s="516">
        <v>0</v>
      </c>
      <c r="D61" s="517">
        <f t="shared" si="9"/>
        <v>0</v>
      </c>
      <c r="E61" s="516"/>
      <c r="F61" s="516">
        <v>2074.254</v>
      </c>
      <c r="G61" s="516">
        <v>0</v>
      </c>
      <c r="H61" s="517">
        <f t="shared" si="10"/>
        <v>2074.254</v>
      </c>
      <c r="I61" s="516"/>
      <c r="J61" s="516">
        <v>0</v>
      </c>
      <c r="K61" s="516">
        <v>0</v>
      </c>
      <c r="L61" s="517">
        <f t="shared" si="11"/>
        <v>0</v>
      </c>
      <c r="M61" s="313"/>
      <c r="O61" s="314"/>
      <c r="Q61" s="313"/>
      <c r="S61" s="313"/>
    </row>
    <row r="62" spans="1:19" ht="15.75">
      <c r="A62" s="180" t="s">
        <v>646</v>
      </c>
      <c r="B62" s="516">
        <v>0</v>
      </c>
      <c r="C62" s="516">
        <v>0</v>
      </c>
      <c r="D62" s="517">
        <f t="shared" si="9"/>
        <v>0</v>
      </c>
      <c r="E62" s="516"/>
      <c r="F62" s="516">
        <v>0</v>
      </c>
      <c r="G62" s="516">
        <v>0</v>
      </c>
      <c r="H62" s="517">
        <f t="shared" si="10"/>
        <v>0</v>
      </c>
      <c r="I62" s="516"/>
      <c r="J62" s="516">
        <v>0</v>
      </c>
      <c r="K62" s="516">
        <v>0</v>
      </c>
      <c r="L62" s="517">
        <f t="shared" si="11"/>
        <v>0</v>
      </c>
      <c r="M62" s="313"/>
      <c r="O62" s="314"/>
      <c r="Q62" s="313"/>
      <c r="S62" s="313"/>
    </row>
    <row r="63" spans="1:19" ht="15.75">
      <c r="A63" s="180" t="s">
        <v>363</v>
      </c>
      <c r="B63" s="516">
        <v>0.001</v>
      </c>
      <c r="C63" s="516">
        <v>0</v>
      </c>
      <c r="D63" s="517">
        <f t="shared" si="9"/>
        <v>0.001</v>
      </c>
      <c r="E63" s="516"/>
      <c r="F63" s="516">
        <v>0</v>
      </c>
      <c r="G63" s="516">
        <v>0</v>
      </c>
      <c r="H63" s="517">
        <f t="shared" si="10"/>
        <v>0</v>
      </c>
      <c r="I63" s="516"/>
      <c r="J63" s="516">
        <v>5.432</v>
      </c>
      <c r="K63" s="516">
        <v>0</v>
      </c>
      <c r="L63" s="517">
        <f t="shared" si="11"/>
        <v>5.432</v>
      </c>
      <c r="M63" s="313"/>
      <c r="O63" s="314"/>
      <c r="Q63" s="313"/>
      <c r="S63" s="313"/>
    </row>
    <row r="64" spans="1:19" ht="15.75">
      <c r="A64" s="180" t="s">
        <v>366</v>
      </c>
      <c r="B64" s="516">
        <v>4.092</v>
      </c>
      <c r="C64" s="516">
        <v>3010.49</v>
      </c>
      <c r="D64" s="517">
        <f t="shared" si="9"/>
        <v>3014.582</v>
      </c>
      <c r="E64" s="516"/>
      <c r="F64" s="516">
        <v>1048.822</v>
      </c>
      <c r="G64" s="516">
        <v>0</v>
      </c>
      <c r="H64" s="517">
        <f t="shared" si="10"/>
        <v>1048.822</v>
      </c>
      <c r="I64" s="516"/>
      <c r="J64" s="516">
        <v>4.684</v>
      </c>
      <c r="K64" s="516">
        <v>4.386</v>
      </c>
      <c r="L64" s="517">
        <f t="shared" si="11"/>
        <v>9.07</v>
      </c>
      <c r="M64" s="313"/>
      <c r="O64" s="314"/>
      <c r="Q64" s="313"/>
      <c r="S64" s="313"/>
    </row>
    <row r="65" spans="1:19" ht="15.75">
      <c r="A65" s="180" t="s">
        <v>367</v>
      </c>
      <c r="B65" s="516">
        <v>329.914</v>
      </c>
      <c r="C65" s="516">
        <v>0</v>
      </c>
      <c r="D65" s="517">
        <f t="shared" si="9"/>
        <v>329.914</v>
      </c>
      <c r="E65" s="516"/>
      <c r="F65" s="516">
        <v>0</v>
      </c>
      <c r="G65" s="516">
        <v>0</v>
      </c>
      <c r="H65" s="517">
        <f t="shared" si="10"/>
        <v>0</v>
      </c>
      <c r="I65" s="516"/>
      <c r="J65" s="516">
        <v>0</v>
      </c>
      <c r="K65" s="516">
        <v>0</v>
      </c>
      <c r="L65" s="517">
        <f t="shared" si="11"/>
        <v>0</v>
      </c>
      <c r="M65" s="313"/>
      <c r="O65" s="314"/>
      <c r="Q65" s="313"/>
      <c r="S65" s="313"/>
    </row>
    <row r="66" spans="1:19" ht="15.75">
      <c r="A66" s="315" t="s">
        <v>441</v>
      </c>
      <c r="B66" s="517">
        <f>SUM(B56:B65)</f>
        <v>334.007</v>
      </c>
      <c r="C66" s="517">
        <f aca="true" t="shared" si="12" ref="C66:L66">SUM(C56:C65)</f>
        <v>4233.665999999999</v>
      </c>
      <c r="D66" s="517">
        <f t="shared" si="12"/>
        <v>4567.673</v>
      </c>
      <c r="E66" s="517"/>
      <c r="F66" s="517">
        <f t="shared" si="12"/>
        <v>3373.675</v>
      </c>
      <c r="G66" s="517">
        <f t="shared" si="12"/>
        <v>0</v>
      </c>
      <c r="H66" s="517">
        <f t="shared" si="12"/>
        <v>3373.675</v>
      </c>
      <c r="I66" s="517"/>
      <c r="J66" s="517">
        <f t="shared" si="12"/>
        <v>18.251</v>
      </c>
      <c r="K66" s="517">
        <f t="shared" si="12"/>
        <v>22.328</v>
      </c>
      <c r="L66" s="517">
        <f t="shared" si="12"/>
        <v>40.579</v>
      </c>
      <c r="M66" s="313"/>
      <c r="O66" s="314"/>
      <c r="Q66" s="313"/>
      <c r="S66" s="313"/>
    </row>
    <row r="67" spans="1:12" ht="6" customHeight="1">
      <c r="A67" s="33"/>
      <c r="B67" s="516"/>
      <c r="C67" s="516"/>
      <c r="D67" s="517" t="s">
        <v>292</v>
      </c>
      <c r="E67" s="516"/>
      <c r="F67" s="516"/>
      <c r="G67" s="516"/>
      <c r="H67" s="517" t="s">
        <v>292</v>
      </c>
      <c r="I67" s="516"/>
      <c r="J67" s="516"/>
      <c r="K67" s="516"/>
      <c r="L67" s="517" t="s">
        <v>292</v>
      </c>
    </row>
    <row r="68" spans="1:12" ht="15.75">
      <c r="A68" s="317" t="s">
        <v>573</v>
      </c>
      <c r="B68" s="516"/>
      <c r="C68" s="516"/>
      <c r="D68" s="517" t="s">
        <v>292</v>
      </c>
      <c r="E68" s="516"/>
      <c r="F68" s="516"/>
      <c r="G68" s="516"/>
      <c r="H68" s="517" t="s">
        <v>292</v>
      </c>
      <c r="I68" s="516"/>
      <c r="J68" s="516"/>
      <c r="K68" s="516"/>
      <c r="L68" s="517" t="s">
        <v>292</v>
      </c>
    </row>
    <row r="69" spans="1:19" ht="15.75">
      <c r="A69" s="180" t="s">
        <v>647</v>
      </c>
      <c r="B69" s="516">
        <v>0</v>
      </c>
      <c r="C69" s="516">
        <v>0</v>
      </c>
      <c r="D69" s="517">
        <f aca="true" t="shared" si="13" ref="D69:D77">SUM(B69:C69)</f>
        <v>0</v>
      </c>
      <c r="E69" s="516"/>
      <c r="F69" s="516">
        <v>1.612</v>
      </c>
      <c r="G69" s="516">
        <v>0</v>
      </c>
      <c r="H69" s="517">
        <f aca="true" t="shared" si="14" ref="H69:H77">SUM(F69:G69)</f>
        <v>1.612</v>
      </c>
      <c r="I69" s="516"/>
      <c r="J69" s="516">
        <v>9.195</v>
      </c>
      <c r="K69" s="516">
        <v>0</v>
      </c>
      <c r="L69" s="517">
        <f aca="true" t="shared" si="15" ref="L69:L77">SUM(J69:K69)</f>
        <v>9.195</v>
      </c>
      <c r="M69" s="313"/>
      <c r="O69" s="314"/>
      <c r="Q69" s="313"/>
      <c r="S69" s="313"/>
    </row>
    <row r="70" spans="1:19" ht="15.75">
      <c r="A70" s="180" t="s">
        <v>648</v>
      </c>
      <c r="B70" s="516">
        <v>8.65</v>
      </c>
      <c r="C70" s="516">
        <v>14.443</v>
      </c>
      <c r="D70" s="517">
        <f t="shared" si="13"/>
        <v>23.093</v>
      </c>
      <c r="E70" s="516"/>
      <c r="F70" s="516">
        <v>0</v>
      </c>
      <c r="G70" s="516">
        <v>0</v>
      </c>
      <c r="H70" s="517">
        <f t="shared" si="14"/>
        <v>0</v>
      </c>
      <c r="I70" s="516"/>
      <c r="J70" s="516">
        <v>0</v>
      </c>
      <c r="K70" s="516">
        <v>1.064</v>
      </c>
      <c r="L70" s="517">
        <f t="shared" si="15"/>
        <v>1.064</v>
      </c>
      <c r="M70" s="313"/>
      <c r="O70" s="314"/>
      <c r="Q70" s="313"/>
      <c r="S70" s="313"/>
    </row>
    <row r="71" spans="1:19" ht="15.75">
      <c r="A71" s="180" t="s">
        <v>361</v>
      </c>
      <c r="B71" s="516">
        <v>0</v>
      </c>
      <c r="C71" s="516">
        <v>0</v>
      </c>
      <c r="D71" s="517">
        <f t="shared" si="13"/>
        <v>0</v>
      </c>
      <c r="E71" s="516"/>
      <c r="F71" s="516">
        <v>0</v>
      </c>
      <c r="G71" s="516">
        <v>0</v>
      </c>
      <c r="H71" s="517">
        <f t="shared" si="14"/>
        <v>0</v>
      </c>
      <c r="I71" s="516"/>
      <c r="J71" s="516">
        <v>2.782</v>
      </c>
      <c r="K71" s="516">
        <v>0</v>
      </c>
      <c r="L71" s="517">
        <f t="shared" si="15"/>
        <v>2.782</v>
      </c>
      <c r="M71" s="313"/>
      <c r="O71" s="314"/>
      <c r="Q71" s="313"/>
      <c r="S71" s="313"/>
    </row>
    <row r="72" spans="1:19" ht="15.75">
      <c r="A72" s="180" t="s">
        <v>19</v>
      </c>
      <c r="B72" s="516">
        <v>0</v>
      </c>
      <c r="C72" s="516">
        <v>0</v>
      </c>
      <c r="D72" s="517">
        <f t="shared" si="13"/>
        <v>0</v>
      </c>
      <c r="E72" s="516"/>
      <c r="F72" s="516">
        <v>0</v>
      </c>
      <c r="G72" s="516">
        <v>0</v>
      </c>
      <c r="H72" s="517">
        <f t="shared" si="14"/>
        <v>0</v>
      </c>
      <c r="I72" s="516"/>
      <c r="J72" s="516">
        <v>0</v>
      </c>
      <c r="K72" s="516">
        <v>0</v>
      </c>
      <c r="L72" s="517">
        <f t="shared" si="15"/>
        <v>0</v>
      </c>
      <c r="M72" s="313"/>
      <c r="O72" s="314"/>
      <c r="Q72" s="313"/>
      <c r="S72" s="313"/>
    </row>
    <row r="73" spans="1:19" ht="15.75">
      <c r="A73" s="180" t="s">
        <v>579</v>
      </c>
      <c r="B73" s="516">
        <v>0</v>
      </c>
      <c r="C73" s="516">
        <v>0</v>
      </c>
      <c r="D73" s="517">
        <f t="shared" si="13"/>
        <v>0</v>
      </c>
      <c r="E73" s="516"/>
      <c r="F73" s="516">
        <v>0</v>
      </c>
      <c r="G73" s="516">
        <v>0</v>
      </c>
      <c r="H73" s="517">
        <f t="shared" si="14"/>
        <v>0</v>
      </c>
      <c r="I73" s="516"/>
      <c r="J73" s="516">
        <v>6.556</v>
      </c>
      <c r="K73" s="516">
        <v>0</v>
      </c>
      <c r="L73" s="517">
        <f t="shared" si="15"/>
        <v>6.556</v>
      </c>
      <c r="M73" s="313"/>
      <c r="O73" s="314"/>
      <c r="Q73" s="313"/>
      <c r="S73" s="313"/>
    </row>
    <row r="74" spans="1:19" ht="15.75">
      <c r="A74" s="180" t="s">
        <v>625</v>
      </c>
      <c r="B74" s="516">
        <v>0</v>
      </c>
      <c r="C74" s="516">
        <v>0</v>
      </c>
      <c r="D74" s="517">
        <f t="shared" si="13"/>
        <v>0</v>
      </c>
      <c r="E74" s="516"/>
      <c r="F74" s="516">
        <v>0</v>
      </c>
      <c r="G74" s="516">
        <v>0</v>
      </c>
      <c r="H74" s="517">
        <f t="shared" si="14"/>
        <v>0</v>
      </c>
      <c r="I74" s="516"/>
      <c r="J74" s="516">
        <v>3.562</v>
      </c>
      <c r="K74" s="516">
        <v>0</v>
      </c>
      <c r="L74" s="517">
        <f t="shared" si="15"/>
        <v>3.562</v>
      </c>
      <c r="M74" s="313"/>
      <c r="O74" s="314"/>
      <c r="Q74" s="313"/>
      <c r="S74" s="313"/>
    </row>
    <row r="75" spans="1:19" ht="15.75">
      <c r="A75" s="180" t="s">
        <v>649</v>
      </c>
      <c r="B75" s="516">
        <v>0</v>
      </c>
      <c r="C75" s="516">
        <v>0</v>
      </c>
      <c r="D75" s="517">
        <f t="shared" si="13"/>
        <v>0</v>
      </c>
      <c r="E75" s="516"/>
      <c r="F75" s="516">
        <v>0</v>
      </c>
      <c r="G75" s="516">
        <v>0</v>
      </c>
      <c r="H75" s="517">
        <f t="shared" si="14"/>
        <v>0</v>
      </c>
      <c r="I75" s="516"/>
      <c r="J75" s="516">
        <v>0.072</v>
      </c>
      <c r="K75" s="516">
        <v>0</v>
      </c>
      <c r="L75" s="517">
        <f t="shared" si="15"/>
        <v>0.072</v>
      </c>
      <c r="M75" s="313"/>
      <c r="O75" s="314"/>
      <c r="Q75" s="313"/>
      <c r="S75" s="313"/>
    </row>
    <row r="76" spans="1:19" ht="15.75">
      <c r="A76" s="180" t="s">
        <v>574</v>
      </c>
      <c r="B76" s="516">
        <v>0</v>
      </c>
      <c r="C76" s="516">
        <v>0</v>
      </c>
      <c r="D76" s="517">
        <f t="shared" si="13"/>
        <v>0</v>
      </c>
      <c r="E76" s="516"/>
      <c r="F76" s="516">
        <v>0</v>
      </c>
      <c r="G76" s="516">
        <v>0</v>
      </c>
      <c r="H76" s="517">
        <f t="shared" si="14"/>
        <v>0</v>
      </c>
      <c r="I76" s="516"/>
      <c r="J76" s="516">
        <v>26.16</v>
      </c>
      <c r="K76" s="516">
        <v>0.84</v>
      </c>
      <c r="L76" s="517">
        <f t="shared" si="15"/>
        <v>27</v>
      </c>
      <c r="M76" s="313"/>
      <c r="O76" s="314"/>
      <c r="Q76" s="313"/>
      <c r="S76" s="313"/>
    </row>
    <row r="77" spans="1:19" ht="15.75">
      <c r="A77" s="180" t="s">
        <v>726</v>
      </c>
      <c r="B77" s="516">
        <v>0</v>
      </c>
      <c r="C77" s="516">
        <v>0</v>
      </c>
      <c r="D77" s="517">
        <f t="shared" si="13"/>
        <v>0</v>
      </c>
      <c r="E77" s="516"/>
      <c r="F77" s="516">
        <v>0</v>
      </c>
      <c r="G77" s="516">
        <v>372.232</v>
      </c>
      <c r="H77" s="517">
        <f t="shared" si="14"/>
        <v>372.232</v>
      </c>
      <c r="I77" s="516"/>
      <c r="J77" s="516">
        <v>0.491</v>
      </c>
      <c r="K77" s="516">
        <v>0</v>
      </c>
      <c r="L77" s="517">
        <f t="shared" si="15"/>
        <v>0.491</v>
      </c>
      <c r="M77" s="313"/>
      <c r="O77" s="314"/>
      <c r="Q77" s="313"/>
      <c r="S77" s="313"/>
    </row>
    <row r="78" spans="1:19" s="2" customFormat="1" ht="15.75">
      <c r="A78" s="315" t="s">
        <v>578</v>
      </c>
      <c r="B78" s="517">
        <f>SUM(B69:B77)</f>
        <v>8.65</v>
      </c>
      <c r="C78" s="517">
        <f aca="true" t="shared" si="16" ref="C78:L78">SUM(C69:C77)</f>
        <v>14.443</v>
      </c>
      <c r="D78" s="517">
        <f t="shared" si="16"/>
        <v>23.093</v>
      </c>
      <c r="E78" s="517"/>
      <c r="F78" s="517">
        <f t="shared" si="16"/>
        <v>1.612</v>
      </c>
      <c r="G78" s="517">
        <f t="shared" si="16"/>
        <v>372.232</v>
      </c>
      <c r="H78" s="517">
        <f t="shared" si="16"/>
        <v>373.84400000000005</v>
      </c>
      <c r="I78" s="517"/>
      <c r="J78" s="517">
        <f t="shared" si="16"/>
        <v>48.818</v>
      </c>
      <c r="K78" s="517">
        <f t="shared" si="16"/>
        <v>1.904</v>
      </c>
      <c r="L78" s="517">
        <f t="shared" si="16"/>
        <v>50.722</v>
      </c>
      <c r="M78" s="311"/>
      <c r="O78" s="314"/>
      <c r="Q78" s="313"/>
      <c r="S78" s="313"/>
    </row>
    <row r="79" spans="1:19" s="2" customFormat="1" ht="6" customHeight="1">
      <c r="A79" s="143"/>
      <c r="B79" s="516" t="s">
        <v>335</v>
      </c>
      <c r="C79" s="516" t="s">
        <v>292</v>
      </c>
      <c r="D79" s="517" t="s">
        <v>292</v>
      </c>
      <c r="E79" s="516"/>
      <c r="F79" s="516"/>
      <c r="G79" s="516"/>
      <c r="H79" s="517" t="s">
        <v>292</v>
      </c>
      <c r="I79" s="516"/>
      <c r="J79" s="516" t="s">
        <v>292</v>
      </c>
      <c r="K79" s="516" t="s">
        <v>292</v>
      </c>
      <c r="L79" s="517" t="s">
        <v>292</v>
      </c>
      <c r="M79" s="313"/>
      <c r="O79" s="314"/>
      <c r="Q79" s="313"/>
      <c r="S79" s="313"/>
    </row>
    <row r="80" spans="1:19" ht="15.75">
      <c r="A80" s="37" t="s">
        <v>368</v>
      </c>
      <c r="B80" s="516">
        <v>0</v>
      </c>
      <c r="C80" s="516">
        <v>0</v>
      </c>
      <c r="D80" s="517">
        <f>SUM(B80:C80)</f>
        <v>0</v>
      </c>
      <c r="E80" s="516"/>
      <c r="F80" s="516">
        <v>0</v>
      </c>
      <c r="G80" s="516">
        <v>0</v>
      </c>
      <c r="H80" s="517">
        <f>SUM(F80:G80)</f>
        <v>0</v>
      </c>
      <c r="I80" s="516"/>
      <c r="J80" s="516">
        <v>0</v>
      </c>
      <c r="K80" s="516">
        <v>0</v>
      </c>
      <c r="L80" s="517">
        <v>0</v>
      </c>
      <c r="M80" s="313"/>
      <c r="O80" s="314"/>
      <c r="Q80" s="313"/>
      <c r="S80" s="313"/>
    </row>
    <row r="81" spans="1:12" ht="6" customHeight="1">
      <c r="A81" s="33"/>
      <c r="B81" s="516"/>
      <c r="C81" s="516"/>
      <c r="D81" s="517" t="s">
        <v>292</v>
      </c>
      <c r="E81" s="516"/>
      <c r="F81" s="516" t="s">
        <v>292</v>
      </c>
      <c r="G81" s="516" t="s">
        <v>292</v>
      </c>
      <c r="H81" s="517" t="s">
        <v>292</v>
      </c>
      <c r="I81" s="516"/>
      <c r="J81" s="516" t="s">
        <v>292</v>
      </c>
      <c r="K81" s="516" t="s">
        <v>292</v>
      </c>
      <c r="L81" s="517" t="s">
        <v>292</v>
      </c>
    </row>
    <row r="82" spans="1:19" ht="15.75">
      <c r="A82" s="37" t="s">
        <v>369</v>
      </c>
      <c r="B82" s="517">
        <f>B28+B42+B53+B66+B78+B80</f>
        <v>5959.445999999999</v>
      </c>
      <c r="C82" s="517">
        <f>C28+C42+C53+C66+C78+C80</f>
        <v>24738.265</v>
      </c>
      <c r="D82" s="517">
        <f>D28+D42+D53+D66+D78+D80</f>
        <v>29272.978</v>
      </c>
      <c r="E82" s="517"/>
      <c r="F82" s="517">
        <f>F28+F42+F53+F66+F78+F80</f>
        <v>6691.058</v>
      </c>
      <c r="G82" s="517">
        <f>G28+G42+G53+G66+G78+G80</f>
        <v>6242.473</v>
      </c>
      <c r="H82" s="517">
        <f>H28+H42+H53+H66+H78+H80</f>
        <v>12933.530999999999</v>
      </c>
      <c r="I82" s="517"/>
      <c r="J82" s="517">
        <f>J28+J42+J53+J66+J78+J80</f>
        <v>559.9380000000001</v>
      </c>
      <c r="K82" s="517">
        <f>K28+K42+K53+K66+K78+K80</f>
        <v>513.225</v>
      </c>
      <c r="L82" s="517">
        <f>L28+L42+L53+L66+L78+L80</f>
        <v>1073.163</v>
      </c>
      <c r="M82" s="311"/>
      <c r="O82" s="314"/>
      <c r="Q82" s="313"/>
      <c r="S82" s="313"/>
    </row>
    <row r="83" spans="1:12" ht="7.5" customHeight="1">
      <c r="A83" s="33"/>
      <c r="B83" s="516" t="s">
        <v>335</v>
      </c>
      <c r="C83" s="516" t="s">
        <v>292</v>
      </c>
      <c r="D83" s="517" t="s">
        <v>292</v>
      </c>
      <c r="E83" s="516"/>
      <c r="F83" s="516" t="s">
        <v>292</v>
      </c>
      <c r="G83" s="516" t="s">
        <v>292</v>
      </c>
      <c r="H83" s="517" t="s">
        <v>292</v>
      </c>
      <c r="I83" s="516"/>
      <c r="J83" s="516" t="s">
        <v>292</v>
      </c>
      <c r="K83" s="516" t="s">
        <v>292</v>
      </c>
      <c r="L83" s="517" t="s">
        <v>292</v>
      </c>
    </row>
    <row r="84" spans="1:19" ht="15.75">
      <c r="A84" s="37" t="s">
        <v>370</v>
      </c>
      <c r="B84" s="516">
        <v>4399.399</v>
      </c>
      <c r="C84" s="516">
        <v>11937.328</v>
      </c>
      <c r="D84" s="517">
        <f>SUM(B84:C84)</f>
        <v>16336.726999999999</v>
      </c>
      <c r="E84" s="516"/>
      <c r="F84" s="516">
        <v>882.298</v>
      </c>
      <c r="G84" s="516">
        <v>2812.749</v>
      </c>
      <c r="H84" s="517">
        <f>SUM(F84:G84)</f>
        <v>3695.0469999999996</v>
      </c>
      <c r="I84" s="516"/>
      <c r="J84" s="516">
        <v>445.106</v>
      </c>
      <c r="K84" s="516">
        <v>970.266</v>
      </c>
      <c r="L84" s="517">
        <f>SUM(J84:K84)</f>
        <v>1415.3719999999998</v>
      </c>
      <c r="M84" s="313"/>
      <c r="O84" s="314"/>
      <c r="Q84" s="313"/>
      <c r="S84" s="313"/>
    </row>
    <row r="85" spans="1:14" ht="6" customHeight="1">
      <c r="A85" s="33"/>
      <c r="B85" s="516"/>
      <c r="C85" s="516"/>
      <c r="D85" s="517"/>
      <c r="E85" s="516"/>
      <c r="F85" s="516"/>
      <c r="G85" s="516"/>
      <c r="H85" s="517"/>
      <c r="I85" s="516"/>
      <c r="J85" s="516"/>
      <c r="K85" s="516"/>
      <c r="L85" s="517"/>
      <c r="N85" s="490"/>
    </row>
    <row r="86" spans="1:19" ht="15.75">
      <c r="A86" s="293" t="s">
        <v>371</v>
      </c>
      <c r="B86" s="518">
        <f>B84+B82</f>
        <v>10358.845</v>
      </c>
      <c r="C86" s="518">
        <f>C84+C82</f>
        <v>36675.593</v>
      </c>
      <c r="D86" s="538">
        <f>D84+D82</f>
        <v>45609.705</v>
      </c>
      <c r="E86" s="518"/>
      <c r="F86" s="518">
        <f>F84+F82</f>
        <v>7573.356</v>
      </c>
      <c r="G86" s="518">
        <f>G84+G82</f>
        <v>9055.222</v>
      </c>
      <c r="H86" s="538">
        <f>H84+H82</f>
        <v>16628.577999999998</v>
      </c>
      <c r="I86" s="518"/>
      <c r="J86" s="518">
        <f>J84+J82</f>
        <v>1005.0440000000001</v>
      </c>
      <c r="K86" s="518">
        <f>K84+K82</f>
        <v>1483.491</v>
      </c>
      <c r="L86" s="538">
        <f>L84+L82</f>
        <v>2488.535</v>
      </c>
      <c r="M86" s="318"/>
      <c r="O86" s="319"/>
      <c r="Q86" s="318"/>
      <c r="S86" s="318"/>
    </row>
    <row r="87" spans="1:23" ht="9.75" customHeight="1">
      <c r="A87" s="37"/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N87" s="305"/>
      <c r="O87" s="321"/>
      <c r="P87" s="321"/>
      <c r="Q87" s="321"/>
      <c r="R87" s="321"/>
      <c r="S87" s="321"/>
      <c r="T87" s="321"/>
      <c r="U87" s="321"/>
      <c r="V87" s="321"/>
      <c r="W87" s="321"/>
    </row>
    <row r="88" spans="1:23" s="330" customFormat="1" ht="12.75">
      <c r="A88" s="328" t="s">
        <v>576</v>
      </c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N88" s="331"/>
      <c r="O88" s="332"/>
      <c r="P88" s="332"/>
      <c r="Q88" s="332"/>
      <c r="R88" s="332"/>
      <c r="S88" s="332"/>
      <c r="T88" s="332"/>
      <c r="U88" s="332"/>
      <c r="V88" s="332"/>
      <c r="W88" s="332"/>
    </row>
    <row r="89" spans="14:23" ht="6.75" customHeight="1">
      <c r="N89" s="305"/>
      <c r="O89" s="321"/>
      <c r="P89" s="321"/>
      <c r="Q89" s="321"/>
      <c r="R89" s="321"/>
      <c r="S89" s="321"/>
      <c r="T89" s="321"/>
      <c r="U89" s="321"/>
      <c r="V89" s="321"/>
      <c r="W89" s="321"/>
    </row>
    <row r="90" spans="14:23" ht="87.75" customHeight="1">
      <c r="N90" s="305"/>
      <c r="O90" s="321"/>
      <c r="P90" s="321"/>
      <c r="Q90" s="321"/>
      <c r="R90" s="321"/>
      <c r="S90" s="321"/>
      <c r="T90" s="321"/>
      <c r="U90" s="321"/>
      <c r="V90" s="321"/>
      <c r="W90" s="321"/>
    </row>
    <row r="91" spans="14:23" ht="15">
      <c r="N91" s="305"/>
      <c r="O91" s="321"/>
      <c r="P91" s="321"/>
      <c r="Q91" s="321"/>
      <c r="R91" s="321"/>
      <c r="S91" s="321"/>
      <c r="T91" s="321"/>
      <c r="U91" s="321"/>
      <c r="V91" s="321"/>
      <c r="W91" s="321"/>
    </row>
    <row r="92" spans="14:23" ht="15">
      <c r="N92" s="305"/>
      <c r="O92" s="321"/>
      <c r="P92" s="321"/>
      <c r="Q92" s="321"/>
      <c r="R92" s="321"/>
      <c r="S92" s="321"/>
      <c r="T92" s="321"/>
      <c r="U92" s="321"/>
      <c r="V92" s="321"/>
      <c r="W92" s="321"/>
    </row>
    <row r="93" spans="14:23" ht="15">
      <c r="N93" s="305"/>
      <c r="O93" s="321"/>
      <c r="P93" s="321"/>
      <c r="Q93" s="321"/>
      <c r="R93" s="321"/>
      <c r="S93" s="321"/>
      <c r="T93" s="321"/>
      <c r="U93" s="321"/>
      <c r="V93" s="321"/>
      <c r="W93" s="321"/>
    </row>
    <row r="94" spans="14:23" ht="15">
      <c r="N94" s="305"/>
      <c r="O94" s="321"/>
      <c r="P94" s="321"/>
      <c r="Q94" s="321"/>
      <c r="R94" s="321"/>
      <c r="S94" s="321"/>
      <c r="T94" s="321"/>
      <c r="U94" s="321"/>
      <c r="V94" s="321"/>
      <c r="W94" s="321"/>
    </row>
    <row r="95" spans="14:23" ht="15">
      <c r="N95" s="305"/>
      <c r="O95" s="321"/>
      <c r="P95" s="321"/>
      <c r="Q95" s="321"/>
      <c r="R95" s="321"/>
      <c r="S95" s="321"/>
      <c r="T95" s="321"/>
      <c r="U95" s="321"/>
      <c r="V95" s="321"/>
      <c r="W95" s="321"/>
    </row>
    <row r="96" spans="14:23" ht="15">
      <c r="N96" s="305"/>
      <c r="O96" s="321"/>
      <c r="P96" s="321"/>
      <c r="Q96" s="321"/>
      <c r="R96" s="321"/>
      <c r="S96" s="321"/>
      <c r="T96" s="321"/>
      <c r="U96" s="321"/>
      <c r="V96" s="321"/>
      <c r="W96" s="321"/>
    </row>
    <row r="97" spans="14:23" ht="15">
      <c r="N97" s="305"/>
      <c r="O97" s="321"/>
      <c r="P97" s="321"/>
      <c r="Q97" s="321"/>
      <c r="R97" s="321"/>
      <c r="S97" s="321"/>
      <c r="T97" s="321"/>
      <c r="U97" s="321"/>
      <c r="V97" s="321"/>
      <c r="W97" s="321"/>
    </row>
    <row r="98" spans="14:23" ht="15.75">
      <c r="N98" s="37"/>
      <c r="O98" s="322"/>
      <c r="P98" s="322"/>
      <c r="Q98" s="322"/>
      <c r="R98" s="322"/>
      <c r="S98" s="322"/>
      <c r="T98" s="322"/>
      <c r="U98" s="322"/>
      <c r="V98" s="322"/>
      <c r="W98" s="322"/>
    </row>
    <row r="99" spans="15:23" ht="15">
      <c r="O99" s="323"/>
      <c r="P99" s="323"/>
      <c r="Q99" s="323"/>
      <c r="R99" s="323"/>
      <c r="S99" s="323"/>
      <c r="T99" s="323"/>
      <c r="U99" s="323"/>
      <c r="V99" s="323"/>
      <c r="W99" s="323"/>
    </row>
    <row r="100" spans="14:23" ht="15.75">
      <c r="N100" s="2"/>
      <c r="O100" s="323"/>
      <c r="P100" s="323"/>
      <c r="Q100" s="323"/>
      <c r="R100" s="323"/>
      <c r="S100" s="323"/>
      <c r="T100" s="323"/>
      <c r="U100" s="323"/>
      <c r="V100" s="323"/>
      <c r="W100" s="323"/>
    </row>
    <row r="101" spans="14:23" ht="15">
      <c r="N101" s="305"/>
      <c r="O101" s="321"/>
      <c r="P101" s="321"/>
      <c r="Q101" s="321"/>
      <c r="R101" s="321"/>
      <c r="S101" s="321"/>
      <c r="T101" s="321"/>
      <c r="U101" s="321"/>
      <c r="V101" s="321"/>
      <c r="W101" s="321"/>
    </row>
    <row r="102" spans="14:23" ht="15">
      <c r="N102" s="305"/>
      <c r="O102" s="321"/>
      <c r="P102" s="321"/>
      <c r="Q102" s="321"/>
      <c r="R102" s="321"/>
      <c r="S102" s="321"/>
      <c r="T102" s="321"/>
      <c r="U102" s="321"/>
      <c r="V102" s="321"/>
      <c r="W102" s="321"/>
    </row>
    <row r="103" spans="14:23" ht="15">
      <c r="N103" s="305"/>
      <c r="O103" s="321"/>
      <c r="P103" s="321"/>
      <c r="Q103" s="321"/>
      <c r="R103" s="321"/>
      <c r="S103" s="321"/>
      <c r="T103" s="321"/>
      <c r="U103" s="321"/>
      <c r="V103" s="321"/>
      <c r="W103" s="321"/>
    </row>
    <row r="104" spans="14:23" ht="15">
      <c r="N104" s="305"/>
      <c r="O104" s="321"/>
      <c r="P104" s="321"/>
      <c r="Q104" s="321"/>
      <c r="R104" s="321"/>
      <c r="S104" s="321"/>
      <c r="T104" s="321"/>
      <c r="U104" s="321"/>
      <c r="V104" s="321"/>
      <c r="W104" s="321"/>
    </row>
    <row r="105" spans="14:23" ht="15">
      <c r="N105" s="305"/>
      <c r="O105" s="321"/>
      <c r="P105" s="321"/>
      <c r="Q105" s="321"/>
      <c r="R105" s="321"/>
      <c r="S105" s="321"/>
      <c r="T105" s="321"/>
      <c r="U105" s="321"/>
      <c r="V105" s="321"/>
      <c r="W105" s="321"/>
    </row>
    <row r="106" spans="14:23" ht="15">
      <c r="N106" s="305"/>
      <c r="O106" s="321"/>
      <c r="P106" s="321"/>
      <c r="Q106" s="321"/>
      <c r="R106" s="321"/>
      <c r="S106" s="321"/>
      <c r="T106" s="321"/>
      <c r="U106" s="321"/>
      <c r="V106" s="321"/>
      <c r="W106" s="321"/>
    </row>
    <row r="107" spans="14:23" ht="15">
      <c r="N107" s="305"/>
      <c r="O107" s="321"/>
      <c r="P107" s="321"/>
      <c r="Q107" s="321"/>
      <c r="R107" s="321"/>
      <c r="S107" s="321"/>
      <c r="T107" s="321"/>
      <c r="U107" s="321"/>
      <c r="V107" s="321"/>
      <c r="W107" s="321"/>
    </row>
    <row r="108" spans="14:23" ht="15.75">
      <c r="N108" s="315"/>
      <c r="O108" s="321"/>
      <c r="P108" s="321"/>
      <c r="Q108" s="321"/>
      <c r="R108" s="321"/>
      <c r="S108" s="321"/>
      <c r="T108" s="321"/>
      <c r="U108" s="321"/>
      <c r="V108" s="321"/>
      <c r="W108" s="321"/>
    </row>
    <row r="109" spans="14:23" ht="15.75">
      <c r="N109" s="315"/>
      <c r="O109" s="321"/>
      <c r="P109" s="321"/>
      <c r="Q109" s="321"/>
      <c r="R109" s="321"/>
      <c r="S109" s="321"/>
      <c r="T109" s="321"/>
      <c r="U109" s="321"/>
      <c r="V109" s="321"/>
      <c r="W109" s="321"/>
    </row>
    <row r="110" spans="14:23" ht="15.75">
      <c r="N110" s="37"/>
      <c r="O110" s="321"/>
      <c r="P110" s="321"/>
      <c r="Q110" s="321"/>
      <c r="R110" s="321"/>
      <c r="S110" s="321"/>
      <c r="T110" s="321"/>
      <c r="U110" s="321"/>
      <c r="V110" s="321"/>
      <c r="W110" s="321"/>
    </row>
    <row r="111" spans="14:23" ht="15">
      <c r="N111" s="305"/>
      <c r="O111" s="321"/>
      <c r="P111" s="321"/>
      <c r="Q111" s="321"/>
      <c r="R111" s="321"/>
      <c r="S111" s="321"/>
      <c r="T111" s="321"/>
      <c r="U111" s="321"/>
      <c r="V111" s="321"/>
      <c r="W111" s="321"/>
    </row>
    <row r="112" spans="14:23" ht="15.75">
      <c r="N112" s="37"/>
      <c r="O112" s="321"/>
      <c r="P112" s="321"/>
      <c r="Q112" s="321"/>
      <c r="R112" s="321"/>
      <c r="S112" s="321"/>
      <c r="T112" s="321"/>
      <c r="U112" s="321"/>
      <c r="V112" s="321"/>
      <c r="W112" s="321"/>
    </row>
    <row r="113" spans="14:23" ht="15">
      <c r="N113" s="305"/>
      <c r="O113" s="321"/>
      <c r="P113" s="321"/>
      <c r="Q113" s="321"/>
      <c r="R113" s="321"/>
      <c r="S113" s="321"/>
      <c r="T113" s="321"/>
      <c r="U113" s="321"/>
      <c r="V113" s="321"/>
      <c r="W113" s="321"/>
    </row>
    <row r="114" spans="14:23" ht="15">
      <c r="N114" s="305"/>
      <c r="O114" s="321"/>
      <c r="P114" s="321"/>
      <c r="Q114" s="321"/>
      <c r="R114" s="321"/>
      <c r="S114" s="321"/>
      <c r="T114" s="321"/>
      <c r="U114" s="321"/>
      <c r="V114" s="321"/>
      <c r="W114" s="321"/>
    </row>
    <row r="115" spans="14:23" ht="15">
      <c r="N115" s="305"/>
      <c r="O115" s="321"/>
      <c r="P115" s="321"/>
      <c r="Q115" s="321"/>
      <c r="R115" s="321"/>
      <c r="S115" s="321"/>
      <c r="T115" s="321"/>
      <c r="U115" s="321"/>
      <c r="V115" s="321"/>
      <c r="W115" s="321"/>
    </row>
    <row r="116" spans="14:23" ht="15">
      <c r="N116" s="305"/>
      <c r="O116" s="321"/>
      <c r="P116" s="321"/>
      <c r="Q116" s="321"/>
      <c r="R116" s="321"/>
      <c r="S116" s="321"/>
      <c r="T116" s="321"/>
      <c r="U116" s="321"/>
      <c r="V116" s="321"/>
      <c r="W116" s="321"/>
    </row>
    <row r="117" spans="14:23" ht="15">
      <c r="N117" s="305"/>
      <c r="O117" s="321"/>
      <c r="P117" s="321"/>
      <c r="Q117" s="321"/>
      <c r="R117" s="321"/>
      <c r="S117" s="321"/>
      <c r="T117" s="321"/>
      <c r="U117" s="321"/>
      <c r="V117" s="321"/>
      <c r="W117" s="321"/>
    </row>
    <row r="118" spans="14:23" ht="15">
      <c r="N118" s="324"/>
      <c r="O118" s="321"/>
      <c r="P118" s="321"/>
      <c r="Q118" s="321"/>
      <c r="R118" s="321"/>
      <c r="S118" s="321"/>
      <c r="T118" s="321"/>
      <c r="U118" s="321"/>
      <c r="V118" s="321"/>
      <c r="W118" s="321"/>
    </row>
    <row r="119" spans="14:23" ht="15">
      <c r="N119" s="324"/>
      <c r="O119" s="321"/>
      <c r="P119" s="321"/>
      <c r="Q119" s="321"/>
      <c r="R119" s="321"/>
      <c r="S119" s="321"/>
      <c r="T119" s="321"/>
      <c r="U119" s="321"/>
      <c r="V119" s="321"/>
      <c r="W119" s="321"/>
    </row>
    <row r="120" spans="14:23" ht="15">
      <c r="N120" s="324"/>
      <c r="O120" s="321"/>
      <c r="P120" s="321"/>
      <c r="Q120" s="321"/>
      <c r="R120" s="321"/>
      <c r="S120" s="321"/>
      <c r="T120" s="321"/>
      <c r="U120" s="321"/>
      <c r="V120" s="321"/>
      <c r="W120" s="321"/>
    </row>
    <row r="121" spans="14:23" ht="15">
      <c r="N121" s="324"/>
      <c r="O121" s="321"/>
      <c r="P121" s="321"/>
      <c r="Q121" s="321"/>
      <c r="R121" s="321"/>
      <c r="S121" s="321"/>
      <c r="T121" s="321"/>
      <c r="U121" s="321"/>
      <c r="V121" s="321"/>
      <c r="W121" s="321"/>
    </row>
    <row r="122" spans="14:23" ht="15">
      <c r="N122" s="324"/>
      <c r="O122" s="321"/>
      <c r="P122" s="321"/>
      <c r="Q122" s="321"/>
      <c r="R122" s="321"/>
      <c r="S122" s="321"/>
      <c r="T122" s="321"/>
      <c r="U122" s="321"/>
      <c r="V122" s="321"/>
      <c r="W122" s="321"/>
    </row>
    <row r="123" spans="14:23" ht="15.75">
      <c r="N123" s="2"/>
      <c r="O123" s="321"/>
      <c r="P123" s="321"/>
      <c r="Q123" s="321"/>
      <c r="R123" s="321"/>
      <c r="S123" s="321"/>
      <c r="T123" s="321"/>
      <c r="U123" s="321"/>
      <c r="V123" s="321"/>
      <c r="W123" s="321"/>
    </row>
    <row r="124" spans="14:23" ht="15.75">
      <c r="N124" s="2"/>
      <c r="O124" s="316"/>
      <c r="P124" s="316"/>
      <c r="Q124" s="316"/>
      <c r="R124" s="316"/>
      <c r="S124" s="316"/>
      <c r="T124" s="316"/>
      <c r="U124" s="316"/>
      <c r="V124" s="316"/>
      <c r="W124" s="316"/>
    </row>
    <row r="125" spans="14:23" ht="15.75">
      <c r="N125" s="2"/>
      <c r="O125" s="325"/>
      <c r="P125" s="325"/>
      <c r="Q125" s="325"/>
      <c r="R125" s="325"/>
      <c r="S125" s="325"/>
      <c r="T125" s="325"/>
      <c r="U125" s="325"/>
      <c r="V125" s="325"/>
      <c r="W125" s="325"/>
    </row>
    <row r="126" spans="14:23" ht="15">
      <c r="N126" s="33"/>
      <c r="O126" s="321"/>
      <c r="P126" s="321"/>
      <c r="Q126" s="321"/>
      <c r="R126" s="321"/>
      <c r="S126" s="321"/>
      <c r="T126" s="321"/>
      <c r="U126" s="321"/>
      <c r="V126" s="321"/>
      <c r="W126" s="321"/>
    </row>
    <row r="127" spans="14:23" ht="15">
      <c r="N127" s="143"/>
      <c r="O127" s="321"/>
      <c r="P127" s="321"/>
      <c r="Q127" s="321"/>
      <c r="R127" s="321"/>
      <c r="S127" s="321"/>
      <c r="T127" s="321"/>
      <c r="U127" s="321"/>
      <c r="V127" s="321"/>
      <c r="W127" s="321"/>
    </row>
    <row r="128" spans="14:23" ht="15">
      <c r="N128" s="143"/>
      <c r="O128" s="321"/>
      <c r="P128" s="321"/>
      <c r="Q128" s="321"/>
      <c r="R128" s="321"/>
      <c r="S128" s="321"/>
      <c r="T128" s="321"/>
      <c r="U128" s="321"/>
      <c r="V128" s="321"/>
      <c r="W128" s="321"/>
    </row>
    <row r="129" spans="14:23" ht="15">
      <c r="N129" s="143"/>
      <c r="O129" s="321"/>
      <c r="P129" s="321"/>
      <c r="Q129" s="321"/>
      <c r="R129" s="321"/>
      <c r="S129" s="321"/>
      <c r="T129" s="321"/>
      <c r="U129" s="321"/>
      <c r="V129" s="321"/>
      <c r="W129" s="321"/>
    </row>
    <row r="130" spans="14:23" ht="15">
      <c r="N130" s="143"/>
      <c r="O130" s="321"/>
      <c r="P130" s="321"/>
      <c r="Q130" s="321"/>
      <c r="R130" s="321"/>
      <c r="S130" s="321"/>
      <c r="T130" s="321"/>
      <c r="U130" s="321"/>
      <c r="V130" s="321"/>
      <c r="W130" s="321"/>
    </row>
    <row r="131" spans="14:23" ht="15.75">
      <c r="N131" s="315"/>
      <c r="O131" s="321"/>
      <c r="P131" s="321"/>
      <c r="Q131" s="321"/>
      <c r="R131" s="321"/>
      <c r="S131" s="321"/>
      <c r="T131" s="321"/>
      <c r="U131" s="321"/>
      <c r="V131" s="321"/>
      <c r="W131" s="321"/>
    </row>
    <row r="132" spans="14:23" ht="15">
      <c r="N132" s="143"/>
      <c r="O132" s="321"/>
      <c r="P132" s="321"/>
      <c r="Q132" s="321"/>
      <c r="R132" s="321"/>
      <c r="S132" s="321"/>
      <c r="T132" s="321"/>
      <c r="U132" s="321"/>
      <c r="V132" s="321"/>
      <c r="W132" s="321"/>
    </row>
    <row r="133" spans="14:23" ht="15">
      <c r="N133" s="143"/>
      <c r="O133" s="321"/>
      <c r="P133" s="321"/>
      <c r="Q133" s="321"/>
      <c r="R133" s="321"/>
      <c r="S133" s="321"/>
      <c r="T133" s="321"/>
      <c r="U133" s="321"/>
      <c r="V133" s="321"/>
      <c r="W133" s="321"/>
    </row>
    <row r="134" spans="14:23" ht="15">
      <c r="N134" s="143"/>
      <c r="O134" s="321"/>
      <c r="P134" s="321"/>
      <c r="Q134" s="321"/>
      <c r="R134" s="321"/>
      <c r="S134" s="321"/>
      <c r="T134" s="321"/>
      <c r="U134" s="321"/>
      <c r="V134" s="321"/>
      <c r="W134" s="321"/>
    </row>
    <row r="135" spans="14:23" ht="15">
      <c r="N135" s="143"/>
      <c r="O135" s="321"/>
      <c r="P135" s="321"/>
      <c r="Q135" s="321"/>
      <c r="R135" s="321"/>
      <c r="S135" s="321"/>
      <c r="T135" s="321"/>
      <c r="U135" s="321"/>
      <c r="V135" s="321"/>
      <c r="W135" s="321"/>
    </row>
    <row r="136" spans="14:23" ht="15">
      <c r="N136" s="143"/>
      <c r="O136" s="321"/>
      <c r="P136" s="321"/>
      <c r="Q136" s="321"/>
      <c r="R136" s="321"/>
      <c r="S136" s="321"/>
      <c r="T136" s="321"/>
      <c r="U136" s="321"/>
      <c r="V136" s="321"/>
      <c r="W136" s="321"/>
    </row>
    <row r="137" spans="14:23" ht="15">
      <c r="N137" s="143"/>
      <c r="O137" s="321"/>
      <c r="P137" s="321"/>
      <c r="Q137" s="321"/>
      <c r="R137" s="321"/>
      <c r="S137" s="321"/>
      <c r="T137" s="321"/>
      <c r="U137" s="321"/>
      <c r="V137" s="321"/>
      <c r="W137" s="321"/>
    </row>
    <row r="138" spans="14:23" ht="15">
      <c r="N138" s="143"/>
      <c r="O138" s="321"/>
      <c r="P138" s="321"/>
      <c r="Q138" s="321"/>
      <c r="R138" s="321"/>
      <c r="S138" s="321"/>
      <c r="T138" s="321"/>
      <c r="U138" s="321"/>
      <c r="V138" s="321"/>
      <c r="W138" s="321"/>
    </row>
    <row r="139" spans="14:23" ht="15">
      <c r="N139" s="143"/>
      <c r="O139" s="321"/>
      <c r="P139" s="321"/>
      <c r="Q139" s="321"/>
      <c r="R139" s="321"/>
      <c r="S139" s="321"/>
      <c r="T139" s="321"/>
      <c r="U139" s="321"/>
      <c r="V139" s="321"/>
      <c r="W139" s="321"/>
    </row>
    <row r="140" spans="14:23" ht="15">
      <c r="N140" s="143"/>
      <c r="O140" s="321"/>
      <c r="P140" s="321"/>
      <c r="Q140" s="321"/>
      <c r="R140" s="321"/>
      <c r="S140" s="321"/>
      <c r="T140" s="321"/>
      <c r="U140" s="321"/>
      <c r="V140" s="321"/>
      <c r="W140" s="321"/>
    </row>
    <row r="141" spans="14:23" ht="15">
      <c r="N141" s="143"/>
      <c r="O141" s="321"/>
      <c r="P141" s="321"/>
      <c r="Q141" s="321"/>
      <c r="R141" s="321"/>
      <c r="S141" s="321"/>
      <c r="T141" s="321"/>
      <c r="U141" s="321"/>
      <c r="V141" s="321"/>
      <c r="W141" s="321"/>
    </row>
    <row r="142" spans="14:23" ht="15">
      <c r="N142" s="143"/>
      <c r="O142" s="321"/>
      <c r="P142" s="321"/>
      <c r="Q142" s="321"/>
      <c r="R142" s="321"/>
      <c r="S142" s="321"/>
      <c r="T142" s="321"/>
      <c r="U142" s="321"/>
      <c r="V142" s="321"/>
      <c r="W142" s="321"/>
    </row>
    <row r="143" spans="14:23" ht="15">
      <c r="N143" s="33"/>
      <c r="O143" s="321"/>
      <c r="P143" s="321"/>
      <c r="Q143" s="321"/>
      <c r="R143" s="321"/>
      <c r="S143" s="321"/>
      <c r="T143" s="321"/>
      <c r="U143" s="321"/>
      <c r="V143" s="321"/>
      <c r="W143" s="321"/>
    </row>
    <row r="144" spans="14:23" ht="15.75">
      <c r="N144" s="37"/>
      <c r="O144" s="321"/>
      <c r="P144" s="321"/>
      <c r="Q144" s="321"/>
      <c r="R144" s="321"/>
      <c r="S144" s="321"/>
      <c r="T144" s="321"/>
      <c r="U144" s="321"/>
      <c r="V144" s="321"/>
      <c r="W144" s="321"/>
    </row>
    <row r="145" spans="14:23" ht="15">
      <c r="N145" s="143"/>
      <c r="O145" s="321"/>
      <c r="P145" s="321"/>
      <c r="Q145" s="321"/>
      <c r="R145" s="321"/>
      <c r="S145" s="321"/>
      <c r="T145" s="321"/>
      <c r="U145" s="321"/>
      <c r="V145" s="321"/>
      <c r="W145" s="321"/>
    </row>
    <row r="146" spans="14:23" ht="15">
      <c r="N146" s="143"/>
      <c r="O146" s="321"/>
      <c r="P146" s="321"/>
      <c r="Q146" s="321"/>
      <c r="R146" s="321"/>
      <c r="S146" s="321"/>
      <c r="T146" s="321"/>
      <c r="U146" s="321"/>
      <c r="V146" s="321"/>
      <c r="W146" s="321"/>
    </row>
    <row r="147" spans="14:23" ht="15">
      <c r="N147" s="143"/>
      <c r="O147" s="321"/>
      <c r="P147" s="321"/>
      <c r="Q147" s="321"/>
      <c r="R147" s="321"/>
      <c r="S147" s="321"/>
      <c r="T147" s="321"/>
      <c r="U147" s="321"/>
      <c r="V147" s="321"/>
      <c r="W147" s="321"/>
    </row>
    <row r="148" spans="14:23" ht="15">
      <c r="N148" s="143"/>
      <c r="O148" s="321"/>
      <c r="P148" s="321"/>
      <c r="Q148" s="321"/>
      <c r="R148" s="321"/>
      <c r="S148" s="321"/>
      <c r="T148" s="321"/>
      <c r="U148" s="321"/>
      <c r="V148" s="321"/>
      <c r="W148" s="321"/>
    </row>
    <row r="149" spans="14:23" ht="15">
      <c r="N149" s="143"/>
      <c r="O149" s="321"/>
      <c r="P149" s="321"/>
      <c r="Q149" s="321"/>
      <c r="R149" s="321"/>
      <c r="S149" s="321"/>
      <c r="T149" s="321"/>
      <c r="U149" s="321"/>
      <c r="V149" s="321"/>
      <c r="W149" s="321"/>
    </row>
    <row r="150" spans="14:23" ht="15">
      <c r="N150" s="143"/>
      <c r="O150" s="321"/>
      <c r="P150" s="321"/>
      <c r="Q150" s="321"/>
      <c r="R150" s="321"/>
      <c r="S150" s="321"/>
      <c r="T150" s="321"/>
      <c r="U150" s="321"/>
      <c r="V150" s="321"/>
      <c r="W150" s="321"/>
    </row>
    <row r="151" spans="14:23" ht="15">
      <c r="N151" s="143"/>
      <c r="O151" s="321"/>
      <c r="P151" s="321"/>
      <c r="Q151" s="321"/>
      <c r="R151" s="321"/>
      <c r="S151" s="321"/>
      <c r="T151" s="321"/>
      <c r="U151" s="321"/>
      <c r="V151" s="321"/>
      <c r="W151" s="321"/>
    </row>
    <row r="152" spans="14:23" ht="15">
      <c r="N152" s="143"/>
      <c r="O152" s="321"/>
      <c r="P152" s="321"/>
      <c r="Q152" s="321"/>
      <c r="R152" s="321"/>
      <c r="S152" s="321"/>
      <c r="T152" s="321"/>
      <c r="U152" s="321"/>
      <c r="V152" s="321"/>
      <c r="W152" s="321"/>
    </row>
    <row r="153" spans="14:23" ht="15">
      <c r="N153" s="143"/>
      <c r="O153" s="321"/>
      <c r="P153" s="321"/>
      <c r="Q153" s="321"/>
      <c r="R153" s="321"/>
      <c r="S153" s="321"/>
      <c r="T153" s="321"/>
      <c r="U153" s="321"/>
      <c r="V153" s="321"/>
      <c r="W153" s="321"/>
    </row>
    <row r="154" spans="14:23" ht="15">
      <c r="N154" s="143"/>
      <c r="O154" s="321"/>
      <c r="P154" s="321"/>
      <c r="Q154" s="321"/>
      <c r="R154" s="321"/>
      <c r="S154" s="321"/>
      <c r="T154" s="321"/>
      <c r="U154" s="321"/>
      <c r="V154" s="321"/>
      <c r="W154" s="321"/>
    </row>
    <row r="155" spans="14:23" ht="15">
      <c r="N155" s="143"/>
      <c r="O155" s="321"/>
      <c r="P155" s="321"/>
      <c r="Q155" s="321"/>
      <c r="R155" s="321"/>
      <c r="S155" s="321"/>
      <c r="T155" s="321"/>
      <c r="U155" s="321"/>
      <c r="V155" s="321"/>
      <c r="W155" s="321"/>
    </row>
    <row r="156" spans="14:23" ht="15">
      <c r="N156" s="143"/>
      <c r="O156" s="321"/>
      <c r="P156" s="321"/>
      <c r="Q156" s="321"/>
      <c r="R156" s="321"/>
      <c r="S156" s="321"/>
      <c r="T156" s="321"/>
      <c r="U156" s="321"/>
      <c r="V156" s="321"/>
      <c r="W156" s="321"/>
    </row>
    <row r="157" spans="14:23" ht="15">
      <c r="N157" s="143"/>
      <c r="O157" s="321"/>
      <c r="P157" s="321"/>
      <c r="Q157" s="321"/>
      <c r="R157" s="321"/>
      <c r="S157" s="321"/>
      <c r="T157" s="321"/>
      <c r="U157" s="321"/>
      <c r="V157" s="321"/>
      <c r="W157" s="321"/>
    </row>
    <row r="158" spans="14:23" ht="15">
      <c r="N158" s="143"/>
      <c r="O158" s="321"/>
      <c r="P158" s="321"/>
      <c r="Q158" s="321"/>
      <c r="R158" s="321"/>
      <c r="S158" s="321"/>
      <c r="T158" s="321"/>
      <c r="U158" s="321"/>
      <c r="V158" s="321"/>
      <c r="W158" s="321"/>
    </row>
    <row r="159" spans="14:23" ht="15">
      <c r="N159" s="143"/>
      <c r="O159" s="321"/>
      <c r="P159" s="321"/>
      <c r="Q159" s="321"/>
      <c r="R159" s="321"/>
      <c r="S159" s="321"/>
      <c r="T159" s="321"/>
      <c r="U159" s="321"/>
      <c r="V159" s="321"/>
      <c r="W159" s="321"/>
    </row>
    <row r="160" spans="14:23" ht="15.75">
      <c r="N160" s="37"/>
      <c r="O160" s="321"/>
      <c r="P160" s="321"/>
      <c r="Q160" s="321"/>
      <c r="R160" s="321"/>
      <c r="S160" s="321"/>
      <c r="T160" s="321"/>
      <c r="U160" s="321"/>
      <c r="V160" s="321"/>
      <c r="W160" s="321"/>
    </row>
    <row r="161" spans="14:23" ht="15">
      <c r="N161" s="305"/>
      <c r="O161" s="321"/>
      <c r="P161" s="321"/>
      <c r="Q161" s="321"/>
      <c r="R161" s="321"/>
      <c r="S161" s="321"/>
      <c r="T161" s="321"/>
      <c r="U161" s="321"/>
      <c r="V161" s="321"/>
      <c r="W161" s="321"/>
    </row>
    <row r="162" spans="14:23" ht="15.75">
      <c r="N162" s="2"/>
      <c r="O162" s="321"/>
      <c r="P162" s="321"/>
      <c r="Q162" s="321"/>
      <c r="R162" s="321"/>
      <c r="S162" s="321"/>
      <c r="T162" s="321"/>
      <c r="U162" s="321"/>
      <c r="V162" s="321"/>
      <c r="W162" s="321"/>
    </row>
    <row r="163" spans="15:23" ht="15">
      <c r="O163" s="321"/>
      <c r="P163" s="321"/>
      <c r="Q163" s="321"/>
      <c r="R163" s="321"/>
      <c r="S163" s="321"/>
      <c r="T163" s="321"/>
      <c r="U163" s="321"/>
      <c r="V163" s="321"/>
      <c r="W163" s="321"/>
    </row>
    <row r="164" spans="14:23" ht="15.75">
      <c r="N164" s="2"/>
      <c r="O164" s="321"/>
      <c r="P164" s="321"/>
      <c r="Q164" s="321"/>
      <c r="R164" s="321"/>
      <c r="S164" s="321"/>
      <c r="T164" s="321"/>
      <c r="U164" s="321"/>
      <c r="V164" s="321"/>
      <c r="W164" s="321"/>
    </row>
    <row r="165" spans="15:23" ht="15">
      <c r="O165" s="321"/>
      <c r="P165" s="321"/>
      <c r="Q165" s="321"/>
      <c r="R165" s="321"/>
      <c r="S165" s="321"/>
      <c r="T165" s="321"/>
      <c r="U165" s="321"/>
      <c r="V165" s="321"/>
      <c r="W165" s="321"/>
    </row>
    <row r="166" spans="14:23" ht="15.75">
      <c r="N166" s="2"/>
      <c r="O166" s="321"/>
      <c r="P166" s="321"/>
      <c r="Q166" s="321"/>
      <c r="R166" s="321"/>
      <c r="S166" s="321"/>
      <c r="T166" s="321"/>
      <c r="U166" s="321"/>
      <c r="V166" s="321"/>
      <c r="W166" s="321"/>
    </row>
    <row r="167" spans="15:23" ht="15">
      <c r="O167" s="321"/>
      <c r="P167" s="321"/>
      <c r="Q167" s="321"/>
      <c r="R167" s="321"/>
      <c r="S167" s="321"/>
      <c r="T167" s="321"/>
      <c r="U167" s="321"/>
      <c r="V167" s="321"/>
      <c r="W167" s="321"/>
    </row>
    <row r="168" spans="14:23" ht="15.75">
      <c r="N168" s="37"/>
      <c r="O168" s="321"/>
      <c r="P168" s="321"/>
      <c r="Q168" s="321"/>
      <c r="R168" s="321"/>
      <c r="S168" s="321"/>
      <c r="T168" s="321"/>
      <c r="U168" s="321"/>
      <c r="V168" s="321"/>
      <c r="W168" s="321"/>
    </row>
    <row r="169" spans="14:23" ht="15.75">
      <c r="N169" s="37"/>
      <c r="O169" s="320"/>
      <c r="P169" s="320"/>
      <c r="Q169" s="320"/>
      <c r="R169" s="320"/>
      <c r="S169" s="320"/>
      <c r="T169" s="320"/>
      <c r="U169" s="320"/>
      <c r="V169" s="320"/>
      <c r="W169" s="320"/>
    </row>
    <row r="170" spans="14:23" ht="15">
      <c r="N170" s="33"/>
      <c r="O170" s="320"/>
      <c r="P170" s="320"/>
      <c r="Q170" s="320"/>
      <c r="R170" s="320"/>
      <c r="S170" s="320"/>
      <c r="T170" s="320"/>
      <c r="U170" s="320"/>
      <c r="V170" s="320"/>
      <c r="W170" s="320"/>
    </row>
  </sheetData>
  <sheetProtection/>
  <printOptions/>
  <pageMargins left="0.5511811023622047" right="0.3937007874015748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2013-02-01T10:52:53Z</cp:lastPrinted>
  <dcterms:created xsi:type="dcterms:W3CDTF">1999-03-01T10:04:52Z</dcterms:created>
  <dcterms:modified xsi:type="dcterms:W3CDTF">2013-02-01T10:56:48Z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A4654230</vt:lpwstr>
  </property>
  <property fmtid="{D5CDD505-2E9C-101B-9397-08002B2CF9AE}" pid="3" name="Objective-Comment">
    <vt:lpwstr/>
  </property>
  <property fmtid="{D5CDD505-2E9C-101B-9397-08002B2CF9AE}" pid="4" name="Objective-CreationStamp">
    <vt:filetime>2012-12-07T15:26:07Z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2013-02-01T10:57:02Z</vt:filetime>
  </property>
  <property fmtid="{D5CDD505-2E9C-101B-9397-08002B2CF9AE}" pid="8" name="Objective-ModificationStamp">
    <vt:filetime>2013-02-01T10:57:06Z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2012: Research and analysis: Transport: 2012-2017:</vt:lpwstr>
  </property>
  <property fmtid="{D5CDD505-2E9C-101B-9397-08002B2CF9AE}" pid="11" name="Objective-Parent">
    <vt:lpwstr>Transport statistics: Scottish Transport Statistics: 2012: Research and analysis: Transport: 2012-2017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chapter09 - water transport - updated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/>
  </property>
  <property fmtid="{D5CDD505-2E9C-101B-9397-08002B2CF9AE}" pid="16" name="Objective-VersionNumber">
    <vt:r8>4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