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335" windowWidth="7620" windowHeight="4230" firstSheet="1" activeTab="1"/>
  </bookViews>
  <sheets>
    <sheet name="comments" sheetId="1" state="hidden" r:id="rId1"/>
    <sheet name="Contents" sheetId="2" r:id="rId2"/>
    <sheet name="T4.1 old" sheetId="3" state="hidden" r:id="rId3"/>
    <sheet name="T4.1" sheetId="4" r:id="rId4"/>
    <sheet name="T4.2" sheetId="5" r:id="rId5"/>
    <sheet name="T4.3-4.4 " sheetId="6" r:id="rId6"/>
    <sheet name="T4.5" sheetId="7" r:id="rId7"/>
    <sheet name="T4.6" sheetId="8" r:id="rId8"/>
  </sheets>
  <definedNames>
    <definedName name="_xlnm.Print_Area" localSheetId="3">'T4.1'!$A$1:$AI$76</definedName>
    <definedName name="_xlnm.Print_Area" localSheetId="2">'T4.1 old'!$A$1:$AD$76</definedName>
    <definedName name="_xlnm.Print_Area" localSheetId="5">'T4.3-4.4 '!$A$1:$Y$71</definedName>
    <definedName name="_xlnm.Print_Area" localSheetId="6">'T4.5'!$A$1:$P$78</definedName>
    <definedName name="_xlnm.Print_Area" localSheetId="7">'T4.6'!$A$1:$Q$80</definedName>
  </definedNames>
  <calcPr fullCalcOnLoad="1"/>
</workbook>
</file>

<file path=xl/sharedStrings.xml><?xml version="1.0" encoding="utf-8"?>
<sst xmlns="http://schemas.openxmlformats.org/spreadsheetml/2006/main" count="654" uniqueCount="246">
  <si>
    <t>Motorways</t>
  </si>
  <si>
    <t>Excluding slip roads</t>
  </si>
  <si>
    <t>Including slip roads</t>
  </si>
  <si>
    <t>A roads</t>
  </si>
  <si>
    <t>Dual carriageway</t>
  </si>
  <si>
    <t>Single carriageway</t>
  </si>
  <si>
    <t>Total</t>
  </si>
  <si>
    <t>by speed limit:</t>
  </si>
  <si>
    <t>up to 40 mph</t>
  </si>
  <si>
    <t>over 40 mph</t>
  </si>
  <si>
    <t>B roads</t>
  </si>
  <si>
    <t>limit up to 40 mph</t>
  </si>
  <si>
    <t>limit over 40 mph</t>
  </si>
  <si>
    <t xml:space="preserve">Total </t>
  </si>
  <si>
    <t>C roads</t>
  </si>
  <si>
    <t>Unclassified roads</t>
  </si>
  <si>
    <t>All LA minor roads</t>
  </si>
  <si>
    <t>A, B and C roads</t>
  </si>
  <si>
    <t>Council</t>
  </si>
  <si>
    <t>Motorway</t>
  </si>
  <si>
    <t>A Roads</t>
  </si>
  <si>
    <t>slips</t>
  </si>
  <si>
    <t>kilometres</t>
  </si>
  <si>
    <t>Aberdeen City</t>
  </si>
  <si>
    <t>Aberdeenshire</t>
  </si>
  <si>
    <t>Angus</t>
  </si>
  <si>
    <t>Argyll &amp; Bute</t>
  </si>
  <si>
    <t>Scottish Borders</t>
  </si>
  <si>
    <t xml:space="preserve">Clackmannanshire 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</si>
  <si>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</si>
  <si>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</si>
  <si>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</si>
  <si>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</si>
  <si>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</si>
  <si>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</si>
  <si>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</si>
  <si>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</si>
  <si>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</si>
  <si>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Glasgow, City of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</si>
  <si>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</si>
  <si>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</si>
  <si>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</si>
  <si>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</si>
  <si>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</si>
  <si>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</si>
  <si>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</si>
  <si>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</si>
  <si>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</si>
  <si>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Shetland Islands</t>
  </si>
  <si>
    <t>South Ayrshire</t>
  </si>
  <si>
    <t>South Lanarkshire</t>
  </si>
  <si>
    <t>Stirling</t>
  </si>
  <si>
    <t>West Dunbartonshire</t>
  </si>
  <si>
    <t>West Lothian</t>
  </si>
  <si>
    <t>percentages</t>
  </si>
  <si>
    <t>New roads</t>
  </si>
  <si>
    <t xml:space="preserve">   constructed/opened</t>
  </si>
  <si>
    <t>Reconstructed</t>
  </si>
  <si>
    <t>Strengthened</t>
  </si>
  <si>
    <t>Surface dressed</t>
  </si>
  <si>
    <t>..</t>
  </si>
  <si>
    <t>Unit</t>
  </si>
  <si>
    <t>Surface         Dressed</t>
  </si>
  <si>
    <t>&lt;0</t>
  </si>
  <si>
    <t>0-4</t>
  </si>
  <si>
    <t>5-9</t>
  </si>
  <si>
    <t>10-14</t>
  </si>
  <si>
    <t>15-19</t>
  </si>
  <si>
    <t>&gt;19</t>
  </si>
  <si>
    <t>Residual Life (years)</t>
  </si>
  <si>
    <t>1997-98</t>
  </si>
  <si>
    <t>1998-99</t>
  </si>
  <si>
    <t>Equivalent road lane length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</si>
  <si>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</si>
  <si>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</si>
  <si>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</si>
  <si>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</si>
  <si>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This is the standard lane width used for calculating lane-kilometres in tables 5.3 and 5.4</t>
  </si>
  <si>
    <t>lane-kilometres (estimated)</t>
  </si>
  <si>
    <t>Percentages of total</t>
  </si>
  <si>
    <t>Eilean Siar</t>
  </si>
  <si>
    <t xml:space="preserve"> C</t>
  </si>
  <si>
    <t>A</t>
  </si>
  <si>
    <t xml:space="preserve"> Roads</t>
  </si>
  <si>
    <t>B</t>
  </si>
  <si>
    <t>1999-00</t>
  </si>
  <si>
    <t>2000-01</t>
  </si>
  <si>
    <t>2001-02</t>
  </si>
  <si>
    <t>2002-03</t>
  </si>
  <si>
    <t>monitoring</t>
  </si>
  <si>
    <t>Dual carriageways</t>
  </si>
  <si>
    <t>%</t>
  </si>
  <si>
    <t>NW</t>
  </si>
  <si>
    <t>NE</t>
  </si>
  <si>
    <t>SW</t>
  </si>
  <si>
    <t>SE</t>
  </si>
  <si>
    <t>Unclass-</t>
  </si>
  <si>
    <t>ified</t>
  </si>
  <si>
    <t>2003-04</t>
  </si>
  <si>
    <t xml:space="preserve">2002-03 </t>
  </si>
  <si>
    <t>Red</t>
  </si>
  <si>
    <t>Unclassified</t>
  </si>
  <si>
    <t>All roads</t>
  </si>
  <si>
    <t>Scotland</t>
  </si>
  <si>
    <t>1.</t>
  </si>
  <si>
    <t>(a)</t>
  </si>
  <si>
    <t>2.</t>
  </si>
  <si>
    <t xml:space="preserve">percentage </t>
  </si>
  <si>
    <t>Condition</t>
  </si>
  <si>
    <t>(b)</t>
  </si>
  <si>
    <t xml:space="preserve">2003-04 </t>
  </si>
  <si>
    <t>2004-05</t>
  </si>
  <si>
    <t>1. Residual life represents the number of years to elapse before the pavement reaches the stage when it may be necessary to</t>
  </si>
  <si>
    <t xml:space="preserve">    undertake relatively more expensive reconstruction rather than strengthening to restore its full life.</t>
  </si>
  <si>
    <t>2005-06</t>
  </si>
  <si>
    <t>-</t>
  </si>
  <si>
    <t xml:space="preserve"> </t>
  </si>
  <si>
    <t>2006-07</t>
  </si>
  <si>
    <t>3.</t>
  </si>
  <si>
    <t>usually -999</t>
  </si>
  <si>
    <t>4.</t>
  </si>
  <si>
    <t>1. Motorway road lengths have been consolidated using a GIS system which means that there will be some changes to previously published figures.</t>
  </si>
  <si>
    <t xml:space="preserve">2006-07 </t>
  </si>
  <si>
    <t>2007-08</t>
  </si>
  <si>
    <t xml:space="preserve">Glasgow, City of </t>
  </si>
  <si>
    <t>Source: Transport Scotland - Not National Statistics</t>
  </si>
  <si>
    <t>Source: Scottish Road Maintenance Condition Survey - Not National Statistics</t>
  </si>
  <si>
    <t>4.Trunk road lengths for these roads have now been derived more accurately using a GIS system from 2006.</t>
  </si>
  <si>
    <t>2. Road lengths are physical length rather than carriageway length e.g. 10km of dual carriageway counts as 10km, not 20km.</t>
  </si>
  <si>
    <r>
      <t>Motorway</t>
    </r>
    <r>
      <rPr>
        <b/>
        <vertAlign val="superscript"/>
        <sz val="12"/>
        <rFont val="Arial"/>
        <family val="2"/>
      </rPr>
      <t xml:space="preserve"> 1</t>
    </r>
  </si>
  <si>
    <t>New road constructed for traffic</t>
  </si>
  <si>
    <t>red - the road has deteriorated to the point at which it is likely repairs to prolong its future life should be undertaken.</t>
  </si>
  <si>
    <t xml:space="preserve">2007-08 </t>
  </si>
  <si>
    <t>2008-09</t>
  </si>
  <si>
    <t>5.</t>
  </si>
  <si>
    <r>
      <t xml:space="preserve">Reconstructed </t>
    </r>
    <r>
      <rPr>
        <vertAlign val="superscript"/>
        <sz val="12"/>
        <rFont val="Arial"/>
        <family val="2"/>
      </rPr>
      <t>1</t>
    </r>
  </si>
  <si>
    <r>
      <t>Dual carriageway</t>
    </r>
    <r>
      <rPr>
        <vertAlign val="superscript"/>
        <sz val="12"/>
        <rFont val="Arial"/>
        <family val="2"/>
      </rPr>
      <t xml:space="preserve"> 5</t>
    </r>
  </si>
  <si>
    <r>
      <t xml:space="preserve">Single carriageway </t>
    </r>
    <r>
      <rPr>
        <vertAlign val="superscript"/>
        <sz val="12"/>
        <rFont val="Arial"/>
        <family val="2"/>
      </rPr>
      <t>5</t>
    </r>
  </si>
  <si>
    <t xml:space="preserve">2008-09 </t>
  </si>
  <si>
    <t>2009-10</t>
  </si>
  <si>
    <t xml:space="preserve">Table 4.1   </t>
  </si>
  <si>
    <r>
      <t>Table 4.3</t>
    </r>
    <r>
      <rPr>
        <sz val="12"/>
        <rFont val="Arial"/>
        <family val="2"/>
      </rPr>
      <t xml:space="preserve">     Trunk road constructed/re-surfaced etc</t>
    </r>
  </si>
  <si>
    <r>
      <t xml:space="preserve">Table 4.5 </t>
    </r>
    <r>
      <rPr>
        <sz val="12"/>
        <rFont val="Arial"/>
        <family val="2"/>
      </rPr>
      <t xml:space="preserve">    Trunk road network: Residual Life</t>
    </r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(years)</t>
    </r>
  </si>
  <si>
    <t>2. Triangulation with other sources of road length data has occurred to improve the quality of the information. Figures may not be comparable with previous editions.</t>
  </si>
  <si>
    <t>1. Motorway road lengths are derived from GIS from 2000 onwards - see commentary for more details.</t>
  </si>
  <si>
    <r>
      <t>All LA major roads</t>
    </r>
    <r>
      <rPr>
        <b/>
        <vertAlign val="superscript"/>
        <sz val="12"/>
        <rFont val="Arial"/>
        <family val="2"/>
      </rPr>
      <t>4</t>
    </r>
  </si>
  <si>
    <t>2010-11</t>
  </si>
  <si>
    <t xml:space="preserve">  </t>
  </si>
  <si>
    <t>1996-97</t>
  </si>
  <si>
    <t>5. For 2008 and 2009 single and dual carriageways figures are estimated.</t>
  </si>
  <si>
    <t xml:space="preserve">2010-11 </t>
  </si>
  <si>
    <t>2011-12</t>
  </si>
  <si>
    <t>Single carriageways</t>
  </si>
  <si>
    <t xml:space="preserve">Note: it has been decided that surveyed network length is not required as  the figures produced  </t>
  </si>
  <si>
    <t>are now representative of  the whole network as shown in Table 4.1</t>
  </si>
  <si>
    <t>(a)   Residual Life of Pavements (i.e. road surface) as percentage of whole network</t>
  </si>
  <si>
    <t>Other inc slips/roundabout</t>
  </si>
  <si>
    <t xml:space="preserve">     resulting in some small changes to road lengths from those previously published.</t>
  </si>
  <si>
    <t xml:space="preserve">     in an increase of 3-4% in Trunk road length and an increase in overall road length of 0.2%.  The methodology for calculating the trunk road totals from the database has also changed </t>
  </si>
  <si>
    <t>3. These figures now include A road slip roads which have been excluded from the figures in previous publications. The time series has been updated to include this data resulting</t>
  </si>
  <si>
    <r>
      <t xml:space="preserve">All trunk roads </t>
    </r>
    <r>
      <rPr>
        <b/>
        <vertAlign val="superscript"/>
        <sz val="12"/>
        <rFont val="Arial"/>
        <family val="2"/>
      </rPr>
      <t>3,4</t>
    </r>
  </si>
  <si>
    <r>
      <t xml:space="preserve">All roads (trunk and LA) </t>
    </r>
    <r>
      <rPr>
        <b/>
        <vertAlign val="superscript"/>
        <sz val="12"/>
        <rFont val="Arial"/>
        <family val="2"/>
      </rPr>
      <t>3</t>
    </r>
  </si>
  <si>
    <r>
      <t xml:space="preserve">All roads </t>
    </r>
    <r>
      <rPr>
        <b/>
        <vertAlign val="superscript"/>
        <sz val="12"/>
        <rFont val="Arial"/>
        <family val="2"/>
      </rPr>
      <t>3,4</t>
    </r>
  </si>
  <si>
    <r>
      <t xml:space="preserve">SW </t>
    </r>
    <r>
      <rPr>
        <vertAlign val="superscript"/>
        <sz val="12"/>
        <rFont val="Arial"/>
        <family val="2"/>
      </rPr>
      <t>1</t>
    </r>
  </si>
  <si>
    <r>
      <t xml:space="preserve">SE </t>
    </r>
    <r>
      <rPr>
        <vertAlign val="superscript"/>
        <sz val="12"/>
        <rFont val="Arial"/>
        <family val="2"/>
      </rPr>
      <t>1</t>
    </r>
  </si>
  <si>
    <t>2012-13</t>
  </si>
  <si>
    <t xml:space="preserve">2011-12 </t>
  </si>
  <si>
    <r>
      <t xml:space="preserve">Trunk roads </t>
    </r>
    <r>
      <rPr>
        <b/>
        <vertAlign val="superscript"/>
        <sz val="12"/>
        <rFont val="Arial"/>
        <family val="2"/>
      </rPr>
      <t>3, 6</t>
    </r>
  </si>
  <si>
    <r>
      <t>Trunk</t>
    </r>
    <r>
      <rPr>
        <b/>
        <vertAlign val="superscript"/>
        <sz val="12"/>
        <rFont val="Arial"/>
        <family val="2"/>
      </rPr>
      <t xml:space="preserve"> 3</t>
    </r>
  </si>
  <si>
    <r>
      <t xml:space="preserve">North Lanarkshire </t>
    </r>
    <r>
      <rPr>
        <vertAlign val="superscript"/>
        <sz val="12"/>
        <rFont val="Arial"/>
        <family val="2"/>
      </rPr>
      <t>4</t>
    </r>
  </si>
  <si>
    <t>4. The drop in the length of trunk A roads from last year is probably due to  the detrunking of A80 with the opening of the M80.</t>
  </si>
  <si>
    <r>
      <t xml:space="preserve">Amber </t>
    </r>
  </si>
  <si>
    <t>Kilometres</t>
  </si>
  <si>
    <t>6. As at 30 May 2014.</t>
  </si>
  <si>
    <r>
      <t xml:space="preserve"> Public road lengths by class, type and speed limit </t>
    </r>
    <r>
      <rPr>
        <vertAlign val="superscript"/>
        <sz val="12"/>
        <rFont val="Arial"/>
        <family val="2"/>
      </rPr>
      <t>1,2</t>
    </r>
  </si>
  <si>
    <r>
      <t xml:space="preserve">Local Authority major roads </t>
    </r>
    <r>
      <rPr>
        <b/>
        <vertAlign val="superscript"/>
        <sz val="12"/>
        <rFont val="Arial"/>
        <family val="2"/>
      </rPr>
      <t>7</t>
    </r>
  </si>
  <si>
    <r>
      <t xml:space="preserve">Local Authority minor roads </t>
    </r>
    <r>
      <rPr>
        <b/>
        <vertAlign val="superscript"/>
        <sz val="12"/>
        <rFont val="Arial"/>
        <family val="2"/>
      </rPr>
      <t>7</t>
    </r>
  </si>
  <si>
    <t>7. Local authority road lengths at the end of the financial year e.g. 2013=2013/14.</t>
  </si>
  <si>
    <r>
      <t xml:space="preserve">Local Authority </t>
    </r>
    <r>
      <rPr>
        <b/>
        <vertAlign val="superscript"/>
        <sz val="12"/>
        <rFont val="Arial"/>
        <family val="2"/>
      </rPr>
      <t>2,5</t>
    </r>
  </si>
  <si>
    <t>5. Local authority road lengths at the end of the financial year.</t>
  </si>
  <si>
    <r>
      <t>2011-12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</si>
  <si>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2011-12</t>
    </r>
    <r>
      <rPr>
        <vertAlign val="superscript"/>
        <sz val="12"/>
        <rFont val="Arial"/>
        <family val="2"/>
      </rPr>
      <t>2</t>
    </r>
  </si>
  <si>
    <t>2 Method of calculation changed in 2011-12.</t>
  </si>
  <si>
    <t xml:space="preserve">3. The part of the network that requires close monitoring is that which has a residual life of less than zero. </t>
  </si>
  <si>
    <t xml:space="preserve">4. These figures are provisional. </t>
  </si>
  <si>
    <t xml:space="preserve">2013-14 </t>
  </si>
  <si>
    <t>2014-15</t>
  </si>
  <si>
    <t>2013-14</t>
  </si>
  <si>
    <r>
      <t xml:space="preserve">for Scotland as a whole:  2002-03 </t>
    </r>
    <r>
      <rPr>
        <b/>
        <i/>
        <vertAlign val="superscript"/>
        <sz val="16"/>
        <rFont val="Arial"/>
        <family val="2"/>
      </rPr>
      <t xml:space="preserve">3 </t>
    </r>
    <r>
      <rPr>
        <b/>
        <i/>
        <sz val="16"/>
        <rFont val="Arial"/>
        <family val="2"/>
      </rPr>
      <t>to 2007-08 (Old SPI  Series)</t>
    </r>
  </si>
  <si>
    <r>
      <t>2002-03</t>
    </r>
    <r>
      <rPr>
        <vertAlign val="superscript"/>
        <sz val="16"/>
        <rFont val="Arial"/>
        <family val="2"/>
      </rPr>
      <t xml:space="preserve"> 4</t>
    </r>
  </si>
  <si>
    <r>
      <t xml:space="preserve">2004-05 </t>
    </r>
    <r>
      <rPr>
        <vertAlign val="superscript"/>
        <sz val="16"/>
        <rFont val="Arial"/>
        <family val="2"/>
      </rPr>
      <t>5</t>
    </r>
  </si>
  <si>
    <t>ROAD NETWORK</t>
  </si>
  <si>
    <t>Contents</t>
  </si>
  <si>
    <t xml:space="preserve">Public road lengths by class, type and speed limit </t>
  </si>
  <si>
    <t>Table 4.1</t>
  </si>
  <si>
    <t>Table 4.2</t>
  </si>
  <si>
    <t>Table 4.3</t>
  </si>
  <si>
    <t>Table 4.5</t>
  </si>
  <si>
    <t>Table 4.6</t>
  </si>
  <si>
    <t>Trunk road constructed/re-surfaced etc</t>
  </si>
  <si>
    <t>Table 4.4a</t>
  </si>
  <si>
    <t>Table 4.4b</t>
  </si>
  <si>
    <t>Trunk road network: Residual Life (years)</t>
  </si>
  <si>
    <t>Local authority road network condition</t>
  </si>
  <si>
    <t>The categories used to indicate the condition of the road are in brief:</t>
  </si>
  <si>
    <t>Information for 2002-03 is available only for A roads.</t>
  </si>
  <si>
    <t xml:space="preserve">     in an increase of 3-4% in Trunk road length and an increase in overall road length of 0.2%.  The methodology for calculating the trunk road totals from the database has also</t>
  </si>
  <si>
    <t xml:space="preserve">     changed resulting in some small changes to road lengths from those previously published.</t>
  </si>
  <si>
    <t xml:space="preserve">2014-15 </t>
  </si>
  <si>
    <t>2015-16</t>
  </si>
  <si>
    <t>North West Unit</t>
  </si>
  <si>
    <t>North East Unit</t>
  </si>
  <si>
    <t>South West Unit</t>
  </si>
  <si>
    <r>
      <t xml:space="preserve">(b)   The proportion of the motorway/dual and single carriageway trunk road network, which require close monitoring </t>
    </r>
    <r>
      <rPr>
        <b/>
        <vertAlign val="superscript"/>
        <sz val="11.5"/>
        <rFont val="Arial"/>
        <family val="2"/>
      </rPr>
      <t xml:space="preserve">3 </t>
    </r>
  </si>
  <si>
    <t>Requires close</t>
  </si>
  <si>
    <t>3. As at 30 May 2016.</t>
  </si>
  <si>
    <t xml:space="preserve">2015-16 </t>
  </si>
  <si>
    <t>2016-17</t>
  </si>
  <si>
    <t xml:space="preserve">2016-17 </t>
  </si>
  <si>
    <t>2017-18</t>
  </si>
  <si>
    <r>
      <t>Table 4.6</t>
    </r>
    <r>
      <rPr>
        <sz val="16"/>
        <rFont val="Arial"/>
        <family val="2"/>
      </rPr>
      <t xml:space="preserve">    Local authority road network condition </t>
    </r>
    <r>
      <rPr>
        <vertAlign val="superscript"/>
        <sz val="16"/>
        <rFont val="Arial"/>
        <family val="2"/>
      </rPr>
      <t>1, 2</t>
    </r>
  </si>
  <si>
    <t>As unclassified roads represent a significant part of the total road network, RCI data for the network is similarly not available for this period.</t>
  </si>
  <si>
    <t>It is important to note that owing to the different formulation, no valid comparison can or should be made between the two series.</t>
  </si>
  <si>
    <t>amber - further investigation should be undertaken to establish if treatment is required.</t>
  </si>
  <si>
    <t>From 2007-08 the basis of the statutory road performance indicator in Scotland changed to the UK Standard Road Condition Indicator.</t>
  </si>
  <si>
    <t xml:space="preserve">While it has been possible, following the change to the indicator, to calculate the equivalent RCI value for all classified roads </t>
  </si>
  <si>
    <t>from 2005-06, it has not been possible to do this in a reliable manner for unclassified roads, owing to a lack of cracking data for those years.</t>
  </si>
  <si>
    <t>The SPI figures for Scotland in 2004-05 exclude Glasgow, as the survey in Glasgow was undertaken on a different basis in that year.</t>
  </si>
  <si>
    <t>2018-19</t>
  </si>
  <si>
    <t>Trunk road constructed/re-surfaced etc, by unit, 2018-19 (provisional)</t>
  </si>
  <si>
    <r>
      <t>Table 4.2</t>
    </r>
    <r>
      <rPr>
        <sz val="12"/>
        <rFont val="Arial"/>
        <family val="2"/>
      </rPr>
      <t xml:space="preserve">     Public road lengths by council area and class, 2019/20</t>
    </r>
  </si>
  <si>
    <t xml:space="preserve">2018-19 </t>
  </si>
  <si>
    <r>
      <t>2019-20 (</t>
    </r>
    <r>
      <rPr>
        <b/>
        <i/>
        <sz val="12"/>
        <rFont val="Arial"/>
        <family val="2"/>
      </rPr>
      <t>prov</t>
    </r>
    <r>
      <rPr>
        <b/>
        <sz val="12"/>
        <rFont val="Arial"/>
        <family val="2"/>
      </rPr>
      <t>)</t>
    </r>
  </si>
  <si>
    <r>
      <t>Table 4.4 (b)</t>
    </r>
    <r>
      <rPr>
        <sz val="12"/>
        <rFont val="Arial"/>
        <family val="2"/>
      </rPr>
      <t xml:space="preserve">     Trunk road constructed/re-surfaced etc, by unit, 2019-20 (provisional)  </t>
    </r>
  </si>
  <si>
    <r>
      <t xml:space="preserve">Table 4.4 (a)  </t>
    </r>
    <r>
      <rPr>
        <sz val="12"/>
        <rFont val="Arial"/>
        <family val="2"/>
      </rPr>
      <t xml:space="preserve">   Trunk road constructed/re-surfaced etc, by unit, 2018-19</t>
    </r>
  </si>
  <si>
    <r>
      <t xml:space="preserve">Operating Company Areas 2019-20 </t>
    </r>
    <r>
      <rPr>
        <b/>
        <vertAlign val="superscript"/>
        <sz val="11"/>
        <rFont val="Arial"/>
        <family val="2"/>
      </rPr>
      <t>4</t>
    </r>
  </si>
  <si>
    <t>in each Council area:  2019-20</t>
  </si>
  <si>
    <t>2019-20</t>
  </si>
  <si>
    <r>
      <t xml:space="preserve">for Scotland as a whole:  2005-06 </t>
    </r>
    <r>
      <rPr>
        <b/>
        <i/>
        <vertAlign val="superscript"/>
        <sz val="16"/>
        <rFont val="Arial"/>
        <family val="2"/>
      </rPr>
      <t xml:space="preserve"> </t>
    </r>
    <r>
      <rPr>
        <b/>
        <i/>
        <sz val="16"/>
        <rFont val="Arial"/>
        <family val="2"/>
      </rPr>
      <t>to 2019-20 (New RCI  Series)</t>
    </r>
    <r>
      <rPr>
        <b/>
        <i/>
        <vertAlign val="superscript"/>
        <sz val="16"/>
        <rFont val="Arial"/>
        <family val="2"/>
      </rPr>
      <t xml:space="preserve"> 2</t>
    </r>
  </si>
  <si>
    <t>Trunk road constructed/re-surfaced etc, by unit, 2019-20 (provisional)</t>
  </si>
  <si>
    <t>Public road lengths by council area and class, 2019/20</t>
  </si>
  <si>
    <t>1 . FBOC records are now incorporated into South  East following the introduction of the Newtork Maintenance Contracts, August 2020</t>
  </si>
  <si>
    <r>
      <t xml:space="preserve">FBOC </t>
    </r>
    <r>
      <rPr>
        <vertAlign val="superscript"/>
        <sz val="12"/>
        <rFont val="Arial"/>
        <family val="2"/>
      </rPr>
      <t>1</t>
    </r>
  </si>
  <si>
    <r>
      <t xml:space="preserve">2019-20 </t>
    </r>
    <r>
      <rPr>
        <vertAlign val="superscript"/>
        <sz val="12"/>
        <rFont val="Arial"/>
        <family val="2"/>
      </rPr>
      <t>4</t>
    </r>
  </si>
  <si>
    <r>
      <t xml:space="preserve">South East Unit </t>
    </r>
    <r>
      <rPr>
        <vertAlign val="superscript"/>
        <sz val="11.5"/>
        <rFont val="Arial"/>
        <family val="2"/>
      </rPr>
      <t xml:space="preserve">5 </t>
    </r>
  </si>
  <si>
    <t>5. FBOC records are now incorporated into South  East following the introduction of the Newtork Maintenance Contracts, August 2020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</si>
</sst>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_-* #,##0_-;\-* #,##0_-;_-* &quot;-&quot;??_-;_-@_-"/>
    <numFmt numFmtId="168" formatCode="0;\-"/>
    <numFmt numFmtId="169" formatCode="0;[Red]\-"/>
    <numFmt numFmtId="170" formatCode="#,##0_ ;\-#,##0\ "/>
    <numFmt numFmtId="171" formatCode="00000"/>
    <numFmt numFmtId="172" formatCode="_-* #,##0.0_-;\-* #,##0.0_-;_-* &quot;-&quot;_-;_-@_-"/>
    <numFmt numFmtId="173" formatCode="0.00000"/>
    <numFmt numFmtId="174" formatCode="0.0000"/>
    <numFmt numFmtId="175" formatCode="_-* #,##0.0_-;\-* #,##0.0_-;_-* &quot;-&quot;?_-;_-@_-"/>
    <numFmt numFmtId="176" formatCode="_-* #,##0.00_-;\-* #,##0.00_-;_-* &quot;-&quot;_-;_-@_-"/>
    <numFmt numFmtId="177" formatCode="_-* #,##0.0_-;\-* #,##0.0_-;_-* &quot;-&quot;??_-;_-@_-"/>
    <numFmt numFmtId="178" formatCode="#,##0.00_ ;\-#,##0.00\ "/>
    <numFmt numFmtId="179" formatCode="[$-809]dd\ mmmm\ yyyy"/>
    <numFmt numFmtId="180" formatCode="0.000000"/>
    <numFmt numFmtId="181" formatCode="0.0000000"/>
    <numFmt numFmtId="182" formatCode="0.00000000"/>
    <numFmt numFmtId="183" formatCode="#,##0.000_ ;\-#,##0.0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General_)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56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i/>
      <strike/>
      <sz val="14"/>
      <name val="Arial"/>
      <family val="2"/>
    </font>
    <font>
      <b/>
      <sz val="22"/>
      <name val="Arial"/>
      <family val="2"/>
    </font>
    <font>
      <vertAlign val="superscript"/>
      <sz val="16"/>
      <name val="Arial"/>
      <family val="2"/>
    </font>
    <font>
      <b/>
      <i/>
      <sz val="16"/>
      <name val="Arial"/>
      <family val="2"/>
    </font>
    <font>
      <b/>
      <i/>
      <vertAlign val="superscript"/>
      <sz val="16"/>
      <name val="Arial"/>
      <family val="2"/>
    </font>
    <font>
      <i/>
      <sz val="16"/>
      <name val="Arial"/>
      <family val="2"/>
    </font>
    <font>
      <sz val="13"/>
      <name val="Arial"/>
      <family val="2"/>
    </font>
    <font>
      <u val="single"/>
      <sz val="12"/>
      <color indexed="12"/>
      <name val="Arial"/>
      <family val="2"/>
    </font>
    <font>
      <b/>
      <sz val="11.5"/>
      <name val="Arial"/>
      <family val="2"/>
    </font>
    <font>
      <b/>
      <vertAlign val="superscript"/>
      <sz val="11.5"/>
      <name val="Arial"/>
      <family val="2"/>
    </font>
    <font>
      <b/>
      <vertAlign val="superscript"/>
      <sz val="11"/>
      <name val="Arial"/>
      <family val="2"/>
    </font>
    <font>
      <sz val="11.5"/>
      <name val="Arial"/>
      <family val="2"/>
    </font>
    <font>
      <vertAlign val="superscript"/>
      <sz val="11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41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70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41" fontId="5" fillId="0" borderId="0" xfId="0" applyNumberFormat="1" applyFont="1" applyAlignment="1" quotePrefix="1">
      <alignment horizontal="right"/>
    </xf>
    <xf numFmtId="170" fontId="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Continuous" vertical="top"/>
    </xf>
    <xf numFmtId="0" fontId="13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centerContinuous" vertical="top" wrapText="1"/>
      <protection locked="0"/>
    </xf>
    <xf numFmtId="0" fontId="2" fillId="0" borderId="0" xfId="0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70" fontId="17" fillId="0" borderId="0" xfId="0" applyNumberFormat="1" applyFont="1" applyFill="1" applyAlignment="1">
      <alignment/>
    </xf>
    <xf numFmtId="170" fontId="17" fillId="0" borderId="0" xfId="0" applyNumberFormat="1" applyFont="1" applyAlignment="1">
      <alignment/>
    </xf>
    <xf numFmtId="170" fontId="17" fillId="0" borderId="0" xfId="0" applyNumberFormat="1" applyFont="1" applyFill="1" applyBorder="1" applyAlignment="1">
      <alignment/>
    </xf>
    <xf numFmtId="41" fontId="5" fillId="0" borderId="0" xfId="0" applyNumberFormat="1" applyFont="1" applyAlignment="1">
      <alignment horizontal="right"/>
    </xf>
    <xf numFmtId="3" fontId="17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41" fontId="10" fillId="0" borderId="0" xfId="0" applyNumberFormat="1" applyFont="1" applyFill="1" applyBorder="1" applyAlignment="1">
      <alignment horizontal="right"/>
    </xf>
    <xf numFmtId="170" fontId="17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10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 wrapText="1"/>
    </xf>
    <xf numFmtId="0" fontId="21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Continuous" vertical="top"/>
    </xf>
    <xf numFmtId="0" fontId="5" fillId="0" borderId="12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/>
    </xf>
    <xf numFmtId="0" fontId="4" fillId="0" borderId="13" xfId="0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5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Continuous" vertical="top"/>
    </xf>
    <xf numFmtId="0" fontId="5" fillId="0" borderId="12" xfId="0" applyFont="1" applyFill="1" applyBorder="1" applyAlignment="1">
      <alignment horizontal="centerContinuous" vertical="top"/>
    </xf>
    <xf numFmtId="0" fontId="4" fillId="0" borderId="12" xfId="0" applyFont="1" applyFill="1" applyBorder="1" applyAlignment="1">
      <alignment horizontal="centerContinuous" vertical="top" wrapText="1"/>
    </xf>
    <xf numFmtId="0" fontId="1" fillId="0" borderId="0" xfId="0" applyFont="1" applyFill="1" applyBorder="1" applyAlignment="1">
      <alignment horizontal="centerContinuous" vertical="top" wrapText="1"/>
    </xf>
    <xf numFmtId="170" fontId="9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170" fontId="22" fillId="0" borderId="0" xfId="0" applyNumberFormat="1" applyFont="1" applyAlignment="1">
      <alignment/>
    </xf>
    <xf numFmtId="170" fontId="2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 quotePrefix="1">
      <alignment horizontal="left"/>
    </xf>
    <xf numFmtId="170" fontId="22" fillId="0" borderId="13" xfId="0" applyNumberFormat="1" applyFont="1" applyBorder="1" applyAlignment="1">
      <alignment/>
    </xf>
    <xf numFmtId="170" fontId="22" fillId="0" borderId="13" xfId="0" applyNumberFormat="1" applyFont="1" applyFill="1" applyBorder="1" applyAlignment="1">
      <alignment/>
    </xf>
    <xf numFmtId="0" fontId="23" fillId="0" borderId="0" xfId="0" applyFont="1" applyAlignment="1">
      <alignment/>
    </xf>
    <xf numFmtId="3" fontId="5" fillId="0" borderId="15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5" fillId="0" borderId="15" xfId="0" applyNumberFormat="1" applyFont="1" applyBorder="1" applyAlignment="1" quotePrefix="1">
      <alignment horizontal="right"/>
    </xf>
    <xf numFmtId="3" fontId="5" fillId="0" borderId="0" xfId="0" applyNumberFormat="1" applyFont="1" applyAlignment="1" quotePrefix="1">
      <alignment horizontal="right"/>
    </xf>
    <xf numFmtId="3" fontId="5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0" fontId="17" fillId="0" borderId="15" xfId="0" applyNumberFormat="1" applyFont="1" applyFill="1" applyBorder="1" applyAlignment="1">
      <alignment/>
    </xf>
    <xf numFmtId="170" fontId="5" fillId="0" borderId="15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164" fontId="5" fillId="0" borderId="0" xfId="0" applyNumberFormat="1" applyFont="1" applyFill="1" applyBorder="1" applyAlignment="1">
      <alignment/>
    </xf>
    <xf numFmtId="170" fontId="5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Fill="1" applyBorder="1" applyAlignment="1">
      <alignment horizontal="right" wrapText="1"/>
    </xf>
    <xf numFmtId="0" fontId="4" fillId="0" borderId="0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0" xfId="0" applyFont="1" applyBorder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Border="1" applyAlignment="1" quotePrefix="1">
      <alignment horizontal="left"/>
    </xf>
    <xf numFmtId="0" fontId="21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2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Continuous"/>
    </xf>
    <xf numFmtId="0" fontId="23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13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right"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horizontal="left"/>
    </xf>
    <xf numFmtId="164" fontId="21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" fontId="29" fillId="0" borderId="0" xfId="0" applyNumberFormat="1" applyFont="1" applyAlignment="1">
      <alignment horizontal="right"/>
    </xf>
    <xf numFmtId="1" fontId="29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21" fillId="0" borderId="0" xfId="0" applyNumberFormat="1" applyFont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1" fontId="27" fillId="0" borderId="0" xfId="0" applyNumberFormat="1" applyFont="1" applyAlignment="1">
      <alignment horizontal="right"/>
    </xf>
    <xf numFmtId="1" fontId="27" fillId="0" borderId="0" xfId="0" applyNumberFormat="1" applyFont="1" applyAlignment="1">
      <alignment/>
    </xf>
    <xf numFmtId="1" fontId="21" fillId="0" borderId="0" xfId="0" applyNumberFormat="1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 quotePrefix="1">
      <alignment/>
    </xf>
    <xf numFmtId="0" fontId="30" fillId="0" borderId="0" xfId="0" applyFont="1" applyAlignment="1" quotePrefix="1">
      <alignment horizontal="center"/>
    </xf>
    <xf numFmtId="170" fontId="5" fillId="33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31" fillId="0" borderId="0" xfId="57" applyFont="1" applyAlignment="1" applyProtection="1">
      <alignment vertical="center"/>
      <protection/>
    </xf>
    <xf numFmtId="0" fontId="0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3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1"/>
    </xf>
    <xf numFmtId="172" fontId="5" fillId="0" borderId="0" xfId="0" applyNumberFormat="1" applyFont="1" applyFill="1" applyBorder="1" applyAlignment="1">
      <alignment horizontal="right"/>
    </xf>
    <xf numFmtId="3" fontId="5" fillId="0" borderId="0" xfId="42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 horizontal="centerContinuous" vertical="top"/>
    </xf>
    <xf numFmtId="176" fontId="5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0" fontId="11" fillId="0" borderId="13" xfId="0" applyFont="1" applyBorder="1" applyAlignment="1">
      <alignment/>
    </xf>
    <xf numFmtId="1" fontId="1" fillId="0" borderId="0" xfId="0" applyNumberFormat="1" applyFont="1" applyAlignment="1">
      <alignment/>
    </xf>
    <xf numFmtId="170" fontId="5" fillId="0" borderId="16" xfId="0" applyNumberFormat="1" applyFont="1" applyFill="1" applyBorder="1" applyAlignment="1">
      <alignment/>
    </xf>
    <xf numFmtId="167" fontId="5" fillId="0" borderId="0" xfId="42" applyNumberFormat="1" applyFont="1" applyFill="1" applyAlignment="1">
      <alignment/>
    </xf>
    <xf numFmtId="167" fontId="5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175" fontId="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17" xfId="0" applyFont="1" applyBorder="1" applyAlignment="1">
      <alignment/>
    </xf>
    <xf numFmtId="164" fontId="0" fillId="0" borderId="0" xfId="0" applyNumberFormat="1" applyFont="1" applyAlignment="1">
      <alignment/>
    </xf>
    <xf numFmtId="170" fontId="0" fillId="0" borderId="0" xfId="0" applyNumberFormat="1" applyFont="1" applyFill="1" applyAlignment="1">
      <alignment/>
    </xf>
    <xf numFmtId="17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5" fillId="0" borderId="0" xfId="0" applyNumberFormat="1" applyFont="1" applyFill="1" applyBorder="1" applyAlignment="1">
      <alignment/>
    </xf>
    <xf numFmtId="170" fontId="4" fillId="0" borderId="0" xfId="0" applyNumberFormat="1" applyFont="1" applyFill="1" applyAlignment="1">
      <alignment/>
    </xf>
    <xf numFmtId="170" fontId="5" fillId="0" borderId="0" xfId="0" applyNumberFormat="1" applyFont="1" applyBorder="1" applyAlignment="1">
      <alignment/>
    </xf>
    <xf numFmtId="170" fontId="5" fillId="0" borderId="15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170" fontId="4" fillId="0" borderId="13" xfId="0" applyNumberFormat="1" applyFont="1" applyBorder="1" applyAlignment="1">
      <alignment/>
    </xf>
    <xf numFmtId="170" fontId="4" fillId="0" borderId="13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41" fontId="5" fillId="0" borderId="0" xfId="65" applyNumberFormat="1" applyFont="1" applyFill="1" applyAlignment="1">
      <alignment horizontal="right"/>
      <protection/>
    </xf>
    <xf numFmtId="41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164" fontId="0" fillId="0" borderId="0" xfId="0" applyNumberFormat="1" applyFont="1" applyAlignment="1" quotePrefix="1">
      <alignment horizontal="right"/>
    </xf>
    <xf numFmtId="0" fontId="0" fillId="0" borderId="0" xfId="64" applyFont="1">
      <alignment/>
      <protection/>
    </xf>
    <xf numFmtId="167" fontId="13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5" fillId="0" borderId="13" xfId="0" applyNumberFormat="1" applyFont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Followed Hyperlink 2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Hyperlink 3" xfId="59"/>
    <cellStyle name="Hyperlink 4" xfId="60"/>
    <cellStyle name="Input" xfId="61"/>
    <cellStyle name="Linked Cell" xfId="62"/>
    <cellStyle name="Neutral" xfId="63"/>
    <cellStyle name="Normal 2" xfId="64"/>
    <cellStyle name="Normal 3" xfId="65"/>
    <cellStyle name="Normal 4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18" sqref="G18"/>
    </sheetView>
  </sheetViews>
  <sheetFormatPr defaultColWidth="9.140625" defaultRowHeight="12.75"/>
  <sheetData>
    <row r="1" spans="1:2" ht="13.5" thickBot="1">
      <c r="A1" s="6">
        <v>999</v>
      </c>
      <c r="B1" s="7" t="s">
        <v>73</v>
      </c>
    </row>
    <row r="2" ht="12.75">
      <c r="B2" s="8" t="s">
        <v>74</v>
      </c>
    </row>
    <row r="3" ht="12.75">
      <c r="B3" t="s">
        <v>75</v>
      </c>
    </row>
    <row r="4" ht="12.75">
      <c r="B4" t="s">
        <v>76</v>
      </c>
    </row>
    <row r="6" spans="1:5" ht="12.75">
      <c r="A6" s="9">
        <v>3.5</v>
      </c>
      <c r="B6" s="9" t="s">
        <v>77</v>
      </c>
      <c r="E6" s="7"/>
    </row>
    <row r="8" ht="12.75">
      <c r="A8" t="s">
        <v>119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</cols>
  <sheetData>
    <row r="1" ht="20.25">
      <c r="A1" s="180" t="s">
        <v>192</v>
      </c>
    </row>
    <row r="2" spans="1:2" ht="15">
      <c r="A2" s="181" t="s">
        <v>194</v>
      </c>
      <c r="B2" s="4" t="s">
        <v>193</v>
      </c>
    </row>
    <row r="3" spans="1:2" ht="15">
      <c r="A3" s="181" t="s">
        <v>195</v>
      </c>
      <c r="B3" s="4" t="s">
        <v>240</v>
      </c>
    </row>
    <row r="4" spans="1:2" ht="15">
      <c r="A4" s="181" t="s">
        <v>196</v>
      </c>
      <c r="B4" s="4" t="s">
        <v>199</v>
      </c>
    </row>
    <row r="5" spans="1:2" ht="15">
      <c r="A5" s="181" t="s">
        <v>200</v>
      </c>
      <c r="B5" s="4" t="s">
        <v>229</v>
      </c>
    </row>
    <row r="6" spans="1:2" ht="15">
      <c r="A6" s="181" t="s">
        <v>201</v>
      </c>
      <c r="B6" s="4" t="s">
        <v>239</v>
      </c>
    </row>
    <row r="7" spans="1:2" ht="15">
      <c r="A7" s="181" t="s">
        <v>197</v>
      </c>
      <c r="B7" s="4" t="s">
        <v>202</v>
      </c>
    </row>
    <row r="8" spans="1:2" ht="15">
      <c r="A8" s="181" t="s">
        <v>198</v>
      </c>
      <c r="B8" s="4" t="s">
        <v>203</v>
      </c>
    </row>
    <row r="9" ht="15">
      <c r="A9" s="181"/>
    </row>
  </sheetData>
  <sheetProtection/>
  <hyperlinks>
    <hyperlink ref="A2" location="T4.1!A1" display="Table 4.1"/>
    <hyperlink ref="A3" location="T4.2!A1" display="Table 4.2"/>
    <hyperlink ref="A4" location="'T4.3-4.4 '!A1" display="Table 4.3"/>
    <hyperlink ref="A8" location="T4.6!A1" display="Table 4.6"/>
    <hyperlink ref="A7" location="T4.5!A1" display="Table 4.5"/>
    <hyperlink ref="A6" location="'T4.3-4.4 '!A1" display="Table 4.4b"/>
    <hyperlink ref="A5" location="'T4.3-4.4 '!A1" display="Table 4.4a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"/>
  <sheetViews>
    <sheetView zoomScale="75" zoomScaleNormal="75" zoomScalePageLayoutView="0" workbookViewId="0" topLeftCell="A1">
      <selection activeCell="AD43" sqref="AD43:AD44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2.00390625" style="1" customWidth="1"/>
    <col min="4" max="4" width="7.57421875" style="1" customWidth="1"/>
    <col min="5" max="5" width="21.421875" style="1" customWidth="1"/>
    <col min="6" max="19" width="9.7109375" style="1" hidden="1" customWidth="1"/>
    <col min="20" max="20" width="10.28125" style="1" customWidth="1"/>
    <col min="21" max="21" width="9.7109375" style="1" customWidth="1"/>
    <col min="22" max="22" width="11.00390625" style="1" customWidth="1"/>
    <col min="23" max="23" width="10.8515625" style="1" customWidth="1"/>
    <col min="24" max="25" width="10.8515625" style="33" customWidth="1"/>
    <col min="26" max="26" width="10.421875" style="33" customWidth="1"/>
    <col min="27" max="27" width="10.140625" style="1" bestFit="1" customWidth="1"/>
    <col min="28" max="28" width="9.140625" style="1" customWidth="1"/>
    <col min="29" max="29" width="9.7109375" style="1" customWidth="1"/>
    <col min="30" max="36" width="9.140625" style="1" customWidth="1"/>
    <col min="37" max="37" width="9.28125" style="1" bestFit="1" customWidth="1"/>
    <col min="38" max="16384" width="9.140625" style="1" customWidth="1"/>
  </cols>
  <sheetData>
    <row r="1" spans="1:26" s="4" customFormat="1" ht="18.75">
      <c r="A1" s="69" t="s">
        <v>140</v>
      </c>
      <c r="B1" s="22"/>
      <c r="C1" s="22"/>
      <c r="D1" s="22"/>
      <c r="E1" s="68" t="s">
        <v>174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22"/>
      <c r="Q1" s="22"/>
      <c r="R1" s="22"/>
      <c r="S1" s="22"/>
      <c r="T1" s="22"/>
      <c r="X1" s="16"/>
      <c r="Y1" s="16"/>
      <c r="Z1" s="16"/>
    </row>
    <row r="2" spans="1:30" ht="21" customHeight="1">
      <c r="A2" s="65"/>
      <c r="B2" s="65"/>
      <c r="C2" s="65"/>
      <c r="D2" s="65"/>
      <c r="E2" s="65"/>
      <c r="F2" s="66">
        <v>1990</v>
      </c>
      <c r="G2" s="66">
        <v>1991</v>
      </c>
      <c r="H2" s="66">
        <v>1992</v>
      </c>
      <c r="I2" s="66">
        <v>1993</v>
      </c>
      <c r="J2" s="66">
        <v>1994</v>
      </c>
      <c r="K2" s="66">
        <v>1995</v>
      </c>
      <c r="L2" s="66">
        <v>1996</v>
      </c>
      <c r="M2" s="66">
        <v>1997</v>
      </c>
      <c r="N2" s="66">
        <v>1998</v>
      </c>
      <c r="O2" s="66">
        <v>1999</v>
      </c>
      <c r="P2" s="66">
        <v>2000</v>
      </c>
      <c r="Q2" s="66">
        <v>2001</v>
      </c>
      <c r="R2" s="67">
        <v>2002</v>
      </c>
      <c r="S2" s="67">
        <v>2003</v>
      </c>
      <c r="T2" s="67">
        <v>2004</v>
      </c>
      <c r="U2" s="67">
        <v>2005</v>
      </c>
      <c r="V2" s="67">
        <v>2006</v>
      </c>
      <c r="W2" s="67">
        <v>2007</v>
      </c>
      <c r="X2" s="67">
        <v>2008</v>
      </c>
      <c r="Y2" s="67">
        <v>2009</v>
      </c>
      <c r="Z2" s="67">
        <v>2010</v>
      </c>
      <c r="AA2" s="67">
        <v>2011</v>
      </c>
      <c r="AB2" s="67">
        <v>2012</v>
      </c>
      <c r="AC2" s="67">
        <v>2013</v>
      </c>
      <c r="AD2" s="67">
        <v>2014</v>
      </c>
    </row>
    <row r="3" spans="6:28" ht="12.75">
      <c r="F3"/>
      <c r="G3"/>
      <c r="H3"/>
      <c r="I3"/>
      <c r="J3"/>
      <c r="K3"/>
      <c r="L3"/>
      <c r="M3"/>
      <c r="N3"/>
      <c r="O3"/>
      <c r="S3" s="3"/>
      <c r="T3" s="40"/>
      <c r="U3" s="40"/>
      <c r="V3" s="33"/>
      <c r="W3" s="40"/>
      <c r="X3" s="40"/>
      <c r="Y3" s="40"/>
      <c r="Z3" s="40"/>
      <c r="AA3" s="40"/>
      <c r="AB3" s="40"/>
    </row>
    <row r="4" spans="1:26" ht="18.75">
      <c r="A4" s="61" t="s">
        <v>167</v>
      </c>
      <c r="B4" s="4"/>
      <c r="C4" s="4"/>
      <c r="D4" s="4"/>
      <c r="E4" s="4"/>
      <c r="F4"/>
      <c r="G4"/>
      <c r="H4"/>
      <c r="I4"/>
      <c r="J4"/>
      <c r="K4"/>
      <c r="L4"/>
      <c r="M4"/>
      <c r="N4"/>
      <c r="O4"/>
      <c r="Q4" s="1" t="s">
        <v>116</v>
      </c>
      <c r="T4" s="33"/>
      <c r="U4" s="33"/>
      <c r="V4" s="33"/>
      <c r="X4" s="1"/>
      <c r="Y4" s="1"/>
      <c r="Z4" s="1"/>
    </row>
    <row r="5" spans="1:30" ht="15">
      <c r="A5" s="4"/>
      <c r="B5" s="4" t="s">
        <v>0</v>
      </c>
      <c r="C5" s="4"/>
      <c r="D5" s="4"/>
      <c r="E5" s="4"/>
      <c r="F5"/>
      <c r="G5"/>
      <c r="H5"/>
      <c r="I5"/>
      <c r="J5"/>
      <c r="K5"/>
      <c r="L5"/>
      <c r="M5"/>
      <c r="N5"/>
      <c r="O5"/>
      <c r="T5" s="33"/>
      <c r="U5" s="33"/>
      <c r="V5" s="33"/>
      <c r="X5" s="1"/>
      <c r="Y5" s="1"/>
      <c r="Z5" s="1"/>
      <c r="AD5" s="138" t="s">
        <v>172</v>
      </c>
    </row>
    <row r="6" spans="1:30" ht="15">
      <c r="A6" s="4"/>
      <c r="B6" s="4"/>
      <c r="C6" s="4" t="s">
        <v>1</v>
      </c>
      <c r="D6" s="4"/>
      <c r="E6" s="4"/>
      <c r="F6" s="14">
        <v>234.4</v>
      </c>
      <c r="G6" s="14">
        <v>233.3</v>
      </c>
      <c r="H6" s="14">
        <v>244.4</v>
      </c>
      <c r="I6" s="14">
        <v>254.1</v>
      </c>
      <c r="J6" s="14">
        <v>273.6</v>
      </c>
      <c r="K6" s="14">
        <v>283.4</v>
      </c>
      <c r="L6" s="116">
        <v>310.9</v>
      </c>
      <c r="M6" s="14">
        <v>328.9</v>
      </c>
      <c r="N6" s="14">
        <v>369.1</v>
      </c>
      <c r="O6" s="123">
        <v>371</v>
      </c>
      <c r="P6" s="31">
        <v>378</v>
      </c>
      <c r="Q6" s="31">
        <v>371</v>
      </c>
      <c r="R6" s="31">
        <v>371</v>
      </c>
      <c r="S6" s="31">
        <v>371</v>
      </c>
      <c r="T6" s="31">
        <v>371</v>
      </c>
      <c r="U6" s="31">
        <v>377</v>
      </c>
      <c r="V6" s="31">
        <v>392</v>
      </c>
      <c r="W6" s="31">
        <v>392</v>
      </c>
      <c r="X6" s="31">
        <v>392</v>
      </c>
      <c r="Y6" s="31">
        <v>390</v>
      </c>
      <c r="Z6" s="31">
        <v>389</v>
      </c>
      <c r="AA6" s="179">
        <v>397</v>
      </c>
      <c r="AB6" s="179">
        <v>421.4999999999999</v>
      </c>
      <c r="AC6" s="179">
        <v>426.09999999999997</v>
      </c>
      <c r="AD6" s="31">
        <v>419.822</v>
      </c>
    </row>
    <row r="7" spans="1:32" ht="15">
      <c r="A7" s="4"/>
      <c r="B7" s="4"/>
      <c r="C7" s="4" t="s">
        <v>2</v>
      </c>
      <c r="D7" s="4"/>
      <c r="E7" s="4"/>
      <c r="F7" s="14">
        <v>312.1</v>
      </c>
      <c r="G7" s="14">
        <v>315.3</v>
      </c>
      <c r="H7" s="14">
        <v>325.5</v>
      </c>
      <c r="I7" s="14">
        <v>338.7</v>
      </c>
      <c r="J7" s="14">
        <v>367.5</v>
      </c>
      <c r="K7" s="14">
        <v>387.5</v>
      </c>
      <c r="L7" s="116">
        <v>460.4</v>
      </c>
      <c r="M7" s="14">
        <f>328.9+153.7</f>
        <v>482.59999999999997</v>
      </c>
      <c r="N7" s="14">
        <v>532.1</v>
      </c>
      <c r="O7" s="123">
        <v>543</v>
      </c>
      <c r="P7" s="31">
        <v>536.8</v>
      </c>
      <c r="Q7" s="31">
        <v>519</v>
      </c>
      <c r="R7" s="31">
        <v>519</v>
      </c>
      <c r="S7" s="31">
        <v>519</v>
      </c>
      <c r="T7" s="31">
        <v>519</v>
      </c>
      <c r="U7" s="31">
        <v>525</v>
      </c>
      <c r="V7" s="31">
        <v>546</v>
      </c>
      <c r="W7" s="31">
        <v>547</v>
      </c>
      <c r="X7" s="31">
        <v>547</v>
      </c>
      <c r="Y7" s="31">
        <v>546</v>
      </c>
      <c r="Z7" s="31">
        <v>544</v>
      </c>
      <c r="AA7" s="179">
        <v>557</v>
      </c>
      <c r="AB7" s="179">
        <v>598.8999999999999</v>
      </c>
      <c r="AC7" s="179">
        <v>595.5999999999999</v>
      </c>
      <c r="AD7" s="31">
        <v>599.603</v>
      </c>
      <c r="AF7" s="31"/>
    </row>
    <row r="8" spans="1:29" ht="13.5" customHeight="1">
      <c r="A8" s="4"/>
      <c r="B8" s="4" t="s">
        <v>3</v>
      </c>
      <c r="C8" s="4"/>
      <c r="D8" s="4"/>
      <c r="E8" s="4"/>
      <c r="F8" s="14"/>
      <c r="G8" s="14"/>
      <c r="H8" s="14"/>
      <c r="I8" s="14"/>
      <c r="J8" s="14"/>
      <c r="K8" s="14"/>
      <c r="L8" s="116"/>
      <c r="M8" s="14"/>
      <c r="N8" s="14"/>
      <c r="O8" s="14"/>
      <c r="P8" s="31"/>
      <c r="AA8" s="31"/>
      <c r="AB8" s="31"/>
      <c r="AC8" s="31"/>
    </row>
    <row r="9" spans="1:30" ht="15">
      <c r="A9" s="4"/>
      <c r="B9" s="4"/>
      <c r="C9" s="4" t="s">
        <v>4</v>
      </c>
      <c r="D9" s="4"/>
      <c r="E9" s="4"/>
      <c r="F9" s="14">
        <v>476.7</v>
      </c>
      <c r="G9" s="14">
        <v>500</v>
      </c>
      <c r="H9" s="14">
        <v>488.8</v>
      </c>
      <c r="I9" s="14">
        <v>484.4</v>
      </c>
      <c r="J9" s="14">
        <v>475.9</v>
      </c>
      <c r="K9" s="14">
        <v>457.6</v>
      </c>
      <c r="L9" s="116">
        <v>575.8</v>
      </c>
      <c r="M9" s="14">
        <f>26.8+472.5+28.4</f>
        <v>527.7</v>
      </c>
      <c r="N9" s="14">
        <v>475.3</v>
      </c>
      <c r="O9" s="14">
        <v>463.7</v>
      </c>
      <c r="P9" s="31">
        <v>481</v>
      </c>
      <c r="Q9" s="31">
        <v>504</v>
      </c>
      <c r="R9" s="31">
        <v>504</v>
      </c>
      <c r="S9" s="31">
        <v>503</v>
      </c>
      <c r="T9" s="31">
        <v>505</v>
      </c>
      <c r="U9" s="31">
        <v>524</v>
      </c>
      <c r="V9" s="31">
        <v>531</v>
      </c>
      <c r="W9" s="31">
        <v>521</v>
      </c>
      <c r="X9" s="31">
        <v>521</v>
      </c>
      <c r="Y9" s="31">
        <v>523</v>
      </c>
      <c r="Z9" s="31">
        <v>523</v>
      </c>
      <c r="AA9" s="179">
        <v>524</v>
      </c>
      <c r="AB9" s="179">
        <v>517</v>
      </c>
      <c r="AC9" s="179">
        <v>517.6</v>
      </c>
      <c r="AD9" s="35">
        <v>503.833</v>
      </c>
    </row>
    <row r="10" spans="1:30" ht="15">
      <c r="A10" s="4"/>
      <c r="B10" s="4"/>
      <c r="C10" s="62" t="s">
        <v>5</v>
      </c>
      <c r="D10" s="4"/>
      <c r="E10" s="4"/>
      <c r="F10" s="14">
        <v>2433.9</v>
      </c>
      <c r="G10" s="14">
        <v>2413.5</v>
      </c>
      <c r="H10" s="14">
        <v>2382.8</v>
      </c>
      <c r="I10" s="14">
        <v>2384.2</v>
      </c>
      <c r="J10" s="14">
        <v>2383.9</v>
      </c>
      <c r="K10" s="14">
        <v>2393.3</v>
      </c>
      <c r="L10" s="116">
        <v>2432</v>
      </c>
      <c r="M10" s="14">
        <f>184.6+2237</f>
        <v>2421.6</v>
      </c>
      <c r="N10" s="14">
        <v>2460.3</v>
      </c>
      <c r="O10" s="14">
        <v>2472.7</v>
      </c>
      <c r="P10" s="31">
        <v>2470.2</v>
      </c>
      <c r="Q10" s="31">
        <v>2373</v>
      </c>
      <c r="R10" s="31">
        <v>2366</v>
      </c>
      <c r="S10" s="31">
        <v>2363</v>
      </c>
      <c r="T10" s="31">
        <v>2357</v>
      </c>
      <c r="U10" s="31">
        <v>2351</v>
      </c>
      <c r="V10" s="31">
        <v>2330</v>
      </c>
      <c r="W10" s="31">
        <v>2323</v>
      </c>
      <c r="X10" s="31">
        <v>2323</v>
      </c>
      <c r="Y10" s="31">
        <v>2332</v>
      </c>
      <c r="Z10" s="31">
        <v>2327</v>
      </c>
      <c r="AA10" s="179">
        <v>2324</v>
      </c>
      <c r="AB10" s="179">
        <v>2319.1</v>
      </c>
      <c r="AC10" s="179">
        <v>2314.5</v>
      </c>
      <c r="AD10" s="35">
        <v>2325.97</v>
      </c>
    </row>
    <row r="11" spans="1:30" ht="15">
      <c r="A11" s="4"/>
      <c r="B11" s="4"/>
      <c r="C11" s="4" t="s">
        <v>156</v>
      </c>
      <c r="D11" s="4"/>
      <c r="E11" s="4"/>
      <c r="F11" s="14"/>
      <c r="G11" s="14"/>
      <c r="H11" s="14"/>
      <c r="I11" s="14"/>
      <c r="J11" s="14"/>
      <c r="K11" s="14"/>
      <c r="L11" s="116"/>
      <c r="M11" s="14"/>
      <c r="N11" s="14"/>
      <c r="O11" s="14"/>
      <c r="P11" s="31"/>
      <c r="Q11" s="129">
        <v>97</v>
      </c>
      <c r="R11" s="31">
        <v>100</v>
      </c>
      <c r="S11" s="31">
        <v>100</v>
      </c>
      <c r="T11" s="31">
        <v>101</v>
      </c>
      <c r="U11" s="31">
        <v>105</v>
      </c>
      <c r="V11" s="31">
        <v>111</v>
      </c>
      <c r="W11" s="31">
        <v>114</v>
      </c>
      <c r="X11" s="31">
        <v>114</v>
      </c>
      <c r="Y11" s="31">
        <v>119</v>
      </c>
      <c r="Z11" s="31">
        <v>123</v>
      </c>
      <c r="AA11" s="179">
        <v>125</v>
      </c>
      <c r="AB11" s="179">
        <v>125.9</v>
      </c>
      <c r="AC11" s="179">
        <v>122.3</v>
      </c>
      <c r="AD11" s="35">
        <v>140.512</v>
      </c>
    </row>
    <row r="12" spans="1:30" s="111" customFormat="1" ht="15.75">
      <c r="A12" s="61"/>
      <c r="B12" s="61"/>
      <c r="C12" s="63" t="s">
        <v>6</v>
      </c>
      <c r="D12" s="4"/>
      <c r="E12" s="4"/>
      <c r="F12" s="14">
        <v>2910.6</v>
      </c>
      <c r="G12" s="14">
        <v>2913.5</v>
      </c>
      <c r="H12" s="14">
        <v>2871.6</v>
      </c>
      <c r="I12" s="14">
        <v>2868.6</v>
      </c>
      <c r="J12" s="14">
        <v>2859.8</v>
      </c>
      <c r="K12" s="14">
        <v>2850.9</v>
      </c>
      <c r="L12" s="116">
        <v>3007.8</v>
      </c>
      <c r="M12" s="14">
        <f>SUM(M9:M10)</f>
        <v>2949.3</v>
      </c>
      <c r="N12" s="14">
        <f>SUM(N9:N10)</f>
        <v>2935.6000000000004</v>
      </c>
      <c r="O12" s="14">
        <f>SUM(O9:O10)</f>
        <v>2936.3999999999996</v>
      </c>
      <c r="P12" s="50">
        <f>SUM(P9:P10)</f>
        <v>2951.2</v>
      </c>
      <c r="Q12" s="31">
        <v>2973</v>
      </c>
      <c r="R12" s="31">
        <v>2969</v>
      </c>
      <c r="S12" s="31">
        <v>2966</v>
      </c>
      <c r="T12" s="31">
        <v>2963</v>
      </c>
      <c r="U12" s="31">
        <v>2980</v>
      </c>
      <c r="V12" s="31">
        <v>2972</v>
      </c>
      <c r="W12" s="31">
        <v>2958</v>
      </c>
      <c r="X12" s="31">
        <v>2958</v>
      </c>
      <c r="Y12" s="31">
        <v>2974</v>
      </c>
      <c r="Z12" s="31">
        <v>2974</v>
      </c>
      <c r="AA12" s="179">
        <v>2973</v>
      </c>
      <c r="AB12" s="179">
        <v>2962</v>
      </c>
      <c r="AC12" s="179">
        <v>2954.4</v>
      </c>
      <c r="AD12" s="31">
        <v>2970.315</v>
      </c>
    </row>
    <row r="13" spans="1:29" ht="15">
      <c r="A13" s="4"/>
      <c r="B13" s="4"/>
      <c r="C13" s="63" t="s">
        <v>7</v>
      </c>
      <c r="D13" s="4"/>
      <c r="E13" s="4"/>
      <c r="F13" s="14"/>
      <c r="G13" s="14"/>
      <c r="H13" s="14"/>
      <c r="I13" s="14"/>
      <c r="J13" s="14"/>
      <c r="K13" s="14"/>
      <c r="L13" s="116"/>
      <c r="M13" s="14"/>
      <c r="N13" s="14"/>
      <c r="O13" s="14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C13" s="130"/>
    </row>
    <row r="14" spans="1:32" ht="15">
      <c r="A14" s="4"/>
      <c r="B14" s="4"/>
      <c r="C14" s="4"/>
      <c r="D14" s="4" t="s">
        <v>8</v>
      </c>
      <c r="E14" s="4"/>
      <c r="F14" s="14">
        <v>222.6</v>
      </c>
      <c r="G14" s="14">
        <v>217.9</v>
      </c>
      <c r="H14" s="14">
        <v>210.5</v>
      </c>
      <c r="I14" s="14">
        <v>216.1</v>
      </c>
      <c r="J14" s="14">
        <v>213.6</v>
      </c>
      <c r="K14" s="14">
        <v>214.8</v>
      </c>
      <c r="L14" s="116">
        <v>233.7</v>
      </c>
      <c r="M14" s="14">
        <f>26.8+184.6</f>
        <v>211.4</v>
      </c>
      <c r="N14" s="14">
        <v>222.7</v>
      </c>
      <c r="O14" s="14">
        <v>247.9</v>
      </c>
      <c r="P14" s="31">
        <v>247.9</v>
      </c>
      <c r="Q14" s="31">
        <v>240</v>
      </c>
      <c r="R14" s="31">
        <v>236</v>
      </c>
      <c r="S14" s="31">
        <v>236</v>
      </c>
      <c r="T14" s="31">
        <v>236</v>
      </c>
      <c r="U14" s="31">
        <v>238</v>
      </c>
      <c r="V14" s="35">
        <v>232</v>
      </c>
      <c r="W14" s="35">
        <v>229</v>
      </c>
      <c r="X14" s="35">
        <v>229</v>
      </c>
      <c r="Y14" s="35">
        <v>226</v>
      </c>
      <c r="Z14" s="35">
        <v>233</v>
      </c>
      <c r="AA14" s="179">
        <v>234</v>
      </c>
      <c r="AB14" s="179">
        <v>231.3</v>
      </c>
      <c r="AC14" s="179">
        <v>231</v>
      </c>
      <c r="AD14" s="35">
        <v>238.7</v>
      </c>
      <c r="AE14" s="130"/>
      <c r="AF14" s="130"/>
    </row>
    <row r="15" spans="1:30" ht="15">
      <c r="A15" s="4"/>
      <c r="B15" s="4"/>
      <c r="C15" s="4"/>
      <c r="D15" s="4" t="s">
        <v>9</v>
      </c>
      <c r="E15" s="4"/>
      <c r="F15" s="14">
        <v>2688</v>
      </c>
      <c r="G15" s="14">
        <v>2695.6</v>
      </c>
      <c r="H15" s="14">
        <v>2661.1</v>
      </c>
      <c r="I15" s="14">
        <v>2652.5</v>
      </c>
      <c r="J15" s="14">
        <v>2646.2</v>
      </c>
      <c r="K15" s="14">
        <v>2636.1</v>
      </c>
      <c r="L15" s="116">
        <v>2774.1</v>
      </c>
      <c r="M15" s="14">
        <f>472.5+2237+28.4</f>
        <v>2737.9</v>
      </c>
      <c r="N15" s="14">
        <v>2712.9</v>
      </c>
      <c r="O15" s="14">
        <v>2688.5</v>
      </c>
      <c r="P15" s="31">
        <v>2703.3</v>
      </c>
      <c r="Q15" s="31">
        <v>2733</v>
      </c>
      <c r="R15" s="31">
        <v>2734</v>
      </c>
      <c r="S15" s="31">
        <v>2730</v>
      </c>
      <c r="T15" s="31">
        <v>2727</v>
      </c>
      <c r="U15" s="31">
        <v>2742</v>
      </c>
      <c r="V15" s="35">
        <v>2740</v>
      </c>
      <c r="W15" s="35">
        <v>2730</v>
      </c>
      <c r="X15" s="35">
        <v>2730</v>
      </c>
      <c r="Y15" s="35">
        <v>2748</v>
      </c>
      <c r="Z15" s="35">
        <v>2740</v>
      </c>
      <c r="AA15" s="179">
        <v>2738</v>
      </c>
      <c r="AB15" s="179">
        <v>2730.3</v>
      </c>
      <c r="AC15" s="179">
        <v>2722.9</v>
      </c>
      <c r="AD15" s="35">
        <v>3331.2</v>
      </c>
    </row>
    <row r="16" spans="1:26" ht="6" customHeight="1">
      <c r="A16" s="4"/>
      <c r="B16" s="4"/>
      <c r="C16" s="4"/>
      <c r="D16" s="4"/>
      <c r="E16" s="4"/>
      <c r="F16" s="14"/>
      <c r="G16" s="14"/>
      <c r="H16" s="14"/>
      <c r="I16" s="14"/>
      <c r="J16" s="14"/>
      <c r="K16" s="14"/>
      <c r="L16" s="116"/>
      <c r="M16" s="14"/>
      <c r="N16" s="14"/>
      <c r="O16" s="14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30" ht="18.75">
      <c r="A17" s="61"/>
      <c r="B17" s="64" t="s">
        <v>160</v>
      </c>
      <c r="C17" s="61"/>
      <c r="D17" s="61"/>
      <c r="E17" s="61"/>
      <c r="F17" s="14">
        <v>3222.7</v>
      </c>
      <c r="G17" s="14">
        <v>3228.8</v>
      </c>
      <c r="H17" s="14">
        <v>3197.1</v>
      </c>
      <c r="I17" s="14">
        <v>3207.3</v>
      </c>
      <c r="J17" s="14">
        <v>3227.3</v>
      </c>
      <c r="K17" s="14">
        <v>3238.4</v>
      </c>
      <c r="L17" s="116">
        <v>3468.2</v>
      </c>
      <c r="M17" s="14">
        <v>3431.9</v>
      </c>
      <c r="N17" s="14">
        <v>3467.6</v>
      </c>
      <c r="O17" s="14">
        <v>3479</v>
      </c>
      <c r="P17" s="109">
        <f aca="true" t="shared" si="0" ref="P17:AD17">P7+P12</f>
        <v>3488</v>
      </c>
      <c r="Q17" s="109">
        <f t="shared" si="0"/>
        <v>3492</v>
      </c>
      <c r="R17" s="109">
        <f t="shared" si="0"/>
        <v>3488</v>
      </c>
      <c r="S17" s="109">
        <f t="shared" si="0"/>
        <v>3485</v>
      </c>
      <c r="T17" s="109">
        <f t="shared" si="0"/>
        <v>3482</v>
      </c>
      <c r="U17" s="109">
        <f t="shared" si="0"/>
        <v>3505</v>
      </c>
      <c r="V17" s="109">
        <f t="shared" si="0"/>
        <v>3518</v>
      </c>
      <c r="W17" s="109">
        <f t="shared" si="0"/>
        <v>3505</v>
      </c>
      <c r="X17" s="109">
        <f t="shared" si="0"/>
        <v>3505</v>
      </c>
      <c r="Y17" s="109">
        <f t="shared" si="0"/>
        <v>3520</v>
      </c>
      <c r="Z17" s="109">
        <f t="shared" si="0"/>
        <v>3518</v>
      </c>
      <c r="AA17" s="109">
        <f t="shared" si="0"/>
        <v>3530</v>
      </c>
      <c r="AB17" s="109">
        <f t="shared" si="0"/>
        <v>3560.8999999999996</v>
      </c>
      <c r="AC17" s="109">
        <f t="shared" si="0"/>
        <v>3550</v>
      </c>
      <c r="AD17" s="109">
        <f t="shared" si="0"/>
        <v>3569.918</v>
      </c>
    </row>
    <row r="18" spans="1:27" ht="14.25" customHeight="1">
      <c r="A18" s="4"/>
      <c r="B18" s="4"/>
      <c r="C18" s="4"/>
      <c r="D18" s="4"/>
      <c r="E18" s="4"/>
      <c r="F18" s="117" t="s">
        <v>116</v>
      </c>
      <c r="G18" s="117" t="s">
        <v>116</v>
      </c>
      <c r="H18" s="117" t="s">
        <v>116</v>
      </c>
      <c r="I18" s="117" t="s">
        <v>116</v>
      </c>
      <c r="J18" s="117" t="s">
        <v>116</v>
      </c>
      <c r="K18" s="117" t="s">
        <v>116</v>
      </c>
      <c r="L18" s="117" t="s">
        <v>116</v>
      </c>
      <c r="M18" s="117" t="s">
        <v>116</v>
      </c>
      <c r="N18" s="117" t="s">
        <v>116</v>
      </c>
      <c r="O18"/>
      <c r="P18" s="53" t="str">
        <f>IF(ABS(P17-(P7+P12))&gt;comments!$A$1,P17-(P7+P12)," ")</f>
        <v> 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6" ht="18.75">
      <c r="A19" s="64" t="s">
        <v>175</v>
      </c>
      <c r="B19" s="4"/>
      <c r="C19" s="4"/>
      <c r="D19" s="4"/>
      <c r="E19" s="4"/>
      <c r="F19" s="14"/>
      <c r="G19" s="14"/>
      <c r="H19" s="14"/>
      <c r="I19" s="14"/>
      <c r="J19" s="14"/>
      <c r="K19" s="14"/>
      <c r="L19" s="14"/>
      <c r="M19" s="14"/>
      <c r="N19" s="14"/>
      <c r="O19"/>
      <c r="P19" s="14"/>
      <c r="Q19" s="14"/>
      <c r="S19" s="29"/>
      <c r="X19" s="1"/>
      <c r="Y19" s="1"/>
      <c r="Z19" s="1"/>
    </row>
    <row r="20" spans="1:26" ht="15">
      <c r="A20" s="4"/>
      <c r="B20" s="4" t="s">
        <v>0</v>
      </c>
      <c r="C20" s="4"/>
      <c r="D20" s="4"/>
      <c r="E20" s="4"/>
      <c r="F20" s="14"/>
      <c r="G20" s="14"/>
      <c r="H20" s="14"/>
      <c r="I20" s="14"/>
      <c r="J20" s="14"/>
      <c r="K20" s="14"/>
      <c r="L20" s="14"/>
      <c r="M20" s="14"/>
      <c r="N20" s="14"/>
      <c r="O20"/>
      <c r="P20" s="14"/>
      <c r="Q20" s="14"/>
      <c r="S20" s="29"/>
      <c r="X20" s="1"/>
      <c r="Y20" s="1"/>
      <c r="Z20" s="1"/>
    </row>
    <row r="21" spans="1:29" ht="15">
      <c r="A21" s="4"/>
      <c r="B21" s="4"/>
      <c r="C21" s="4" t="s">
        <v>1</v>
      </c>
      <c r="D21" s="4"/>
      <c r="E21" s="4"/>
      <c r="F21" s="14">
        <v>24.1</v>
      </c>
      <c r="G21" s="14">
        <v>24.1</v>
      </c>
      <c r="H21" s="14">
        <v>24.1</v>
      </c>
      <c r="I21" s="14">
        <v>31.4</v>
      </c>
      <c r="J21" s="14">
        <v>31.4</v>
      </c>
      <c r="K21" s="14">
        <v>27.2</v>
      </c>
      <c r="L21" s="118" t="s">
        <v>115</v>
      </c>
      <c r="M21" s="119" t="s">
        <v>115</v>
      </c>
      <c r="N21" s="119" t="s">
        <v>115</v>
      </c>
      <c r="O21" s="119" t="s">
        <v>115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</row>
    <row r="22" spans="1:29" ht="15">
      <c r="A22" s="4"/>
      <c r="B22" s="4"/>
      <c r="C22" s="4" t="s">
        <v>2</v>
      </c>
      <c r="D22" s="4"/>
      <c r="E22" s="4"/>
      <c r="F22" s="14">
        <v>47.2</v>
      </c>
      <c r="G22" s="14">
        <v>47.2</v>
      </c>
      <c r="H22" s="14">
        <v>47.2</v>
      </c>
      <c r="I22" s="14">
        <v>57.3</v>
      </c>
      <c r="J22" s="14">
        <v>57.3</v>
      </c>
      <c r="K22" s="14">
        <v>53</v>
      </c>
      <c r="L22" s="118" t="s">
        <v>115</v>
      </c>
      <c r="M22" s="119" t="s">
        <v>115</v>
      </c>
      <c r="N22" s="119" t="s">
        <v>115</v>
      </c>
      <c r="O22" s="119" t="s">
        <v>115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</row>
    <row r="23" spans="1:26" ht="15">
      <c r="A23" s="4"/>
      <c r="B23" s="4" t="s">
        <v>3</v>
      </c>
      <c r="C23" s="4"/>
      <c r="D23" s="4"/>
      <c r="E23" s="4"/>
      <c r="F23" s="14"/>
      <c r="G23" s="14"/>
      <c r="H23" s="14"/>
      <c r="I23" s="14"/>
      <c r="J23" s="14"/>
      <c r="K23" s="14"/>
      <c r="L23" s="116"/>
      <c r="M23" s="14"/>
      <c r="N23" s="14"/>
      <c r="O23"/>
      <c r="P23" s="29"/>
      <c r="R23" s="33"/>
      <c r="S23" s="33"/>
      <c r="T23" s="33"/>
      <c r="X23" s="1"/>
      <c r="Y23" s="1"/>
      <c r="Z23" s="1"/>
    </row>
    <row r="24" spans="1:30" ht="18">
      <c r="A24" s="4"/>
      <c r="B24" s="4"/>
      <c r="C24" s="4" t="s">
        <v>136</v>
      </c>
      <c r="D24" s="4"/>
      <c r="E24" s="4"/>
      <c r="F24" s="14">
        <v>270.1</v>
      </c>
      <c r="G24" s="14">
        <v>297.8</v>
      </c>
      <c r="H24" s="14">
        <v>298.8</v>
      </c>
      <c r="I24" s="14">
        <v>298.9</v>
      </c>
      <c r="J24" s="14">
        <v>283.1</v>
      </c>
      <c r="K24" s="14">
        <v>258.9</v>
      </c>
      <c r="L24" s="116">
        <v>209.1</v>
      </c>
      <c r="M24" s="14">
        <v>212</v>
      </c>
      <c r="N24" s="14">
        <v>214.2</v>
      </c>
      <c r="O24" s="120">
        <v>218.68</v>
      </c>
      <c r="P24" s="31">
        <v>225.28</v>
      </c>
      <c r="Q24" s="31">
        <v>225.26</v>
      </c>
      <c r="R24" s="35">
        <v>232.98</v>
      </c>
      <c r="S24" s="35">
        <v>227.69</v>
      </c>
      <c r="T24" s="35">
        <v>227.69</v>
      </c>
      <c r="U24" s="35">
        <f>140.49+105</f>
        <v>245.49</v>
      </c>
      <c r="V24" s="35">
        <v>241.69</v>
      </c>
      <c r="W24" s="35">
        <v>241.99</v>
      </c>
      <c r="X24" s="125">
        <f>W24/W26*X26</f>
        <v>243.3103216077543</v>
      </c>
      <c r="Y24" s="49">
        <f>W24/W26*Y26</f>
        <v>243.3103216077543</v>
      </c>
      <c r="Z24" s="126">
        <v>229</v>
      </c>
      <c r="AA24" s="127">
        <v>231.7</v>
      </c>
      <c r="AB24" s="127">
        <v>268</v>
      </c>
      <c r="AC24" s="127">
        <v>270.2</v>
      </c>
      <c r="AD24" s="127"/>
    </row>
    <row r="25" spans="1:30" ht="18">
      <c r="A25" s="4"/>
      <c r="B25" s="4"/>
      <c r="C25" s="62" t="s">
        <v>137</v>
      </c>
      <c r="D25" s="4"/>
      <c r="E25" s="4"/>
      <c r="F25" s="14">
        <v>7397.6</v>
      </c>
      <c r="G25" s="14">
        <v>7346.5</v>
      </c>
      <c r="H25" s="14">
        <v>7347.8</v>
      </c>
      <c r="I25" s="14">
        <v>7307.5</v>
      </c>
      <c r="J25" s="14">
        <v>7272.2</v>
      </c>
      <c r="K25" s="14">
        <v>7322.75</v>
      </c>
      <c r="L25" s="116">
        <v>7148.8</v>
      </c>
      <c r="M25" s="14">
        <v>7160.7</v>
      </c>
      <c r="N25" s="14">
        <v>7168.5</v>
      </c>
      <c r="O25" s="120">
        <v>7171.05</v>
      </c>
      <c r="P25" s="31">
        <v>7188.34</v>
      </c>
      <c r="Q25" s="31">
        <v>7181.78</v>
      </c>
      <c r="R25" s="35">
        <v>7184</v>
      </c>
      <c r="S25" s="35">
        <v>7190.04</v>
      </c>
      <c r="T25" s="35">
        <v>7190.04</v>
      </c>
      <c r="U25" s="35">
        <f>1312.48+5875.06</f>
        <v>7187.540000000001</v>
      </c>
      <c r="V25" s="35">
        <v>7182.35</v>
      </c>
      <c r="W25" s="35">
        <v>7138.74</v>
      </c>
      <c r="X25" s="125">
        <f>X26-X24</f>
        <v>7177.689678392246</v>
      </c>
      <c r="Y25" s="49">
        <f>Y26-Y24</f>
        <v>7177.689678392246</v>
      </c>
      <c r="Z25" s="126">
        <v>7185</v>
      </c>
      <c r="AA25" s="14">
        <v>7234.9</v>
      </c>
      <c r="AB25" s="14">
        <v>7204.48</v>
      </c>
      <c r="AC25" s="14">
        <v>7202.499999999999</v>
      </c>
      <c r="AD25" s="14"/>
    </row>
    <row r="26" spans="1:30" s="111" customFormat="1" ht="15.75">
      <c r="A26" s="61"/>
      <c r="B26" s="61"/>
      <c r="C26" s="63" t="s">
        <v>6</v>
      </c>
      <c r="D26" s="61"/>
      <c r="E26" s="4"/>
      <c r="F26" s="14">
        <v>7667.7</v>
      </c>
      <c r="G26" s="14">
        <v>7644.3</v>
      </c>
      <c r="H26" s="14">
        <v>7646.6</v>
      </c>
      <c r="I26" s="14">
        <v>7606.4</v>
      </c>
      <c r="J26" s="14">
        <v>7555.3</v>
      </c>
      <c r="K26" s="14">
        <v>7581.65</v>
      </c>
      <c r="L26" s="116">
        <v>7357.9</v>
      </c>
      <c r="M26" s="14">
        <v>7372.7</v>
      </c>
      <c r="N26" s="14">
        <v>7382.7</v>
      </c>
      <c r="O26" s="120">
        <f>SUM(O24:O25)</f>
        <v>7389.7300000000005</v>
      </c>
      <c r="P26" s="50">
        <f aca="true" t="shared" si="1" ref="P26:W26">SUM(P24:P25)</f>
        <v>7413.62</v>
      </c>
      <c r="Q26" s="49">
        <f t="shared" si="1"/>
        <v>7407.04</v>
      </c>
      <c r="R26" s="49">
        <f t="shared" si="1"/>
        <v>7416.98</v>
      </c>
      <c r="S26" s="49">
        <f t="shared" si="1"/>
        <v>7417.73</v>
      </c>
      <c r="T26" s="49">
        <f t="shared" si="1"/>
        <v>7417.73</v>
      </c>
      <c r="U26" s="49">
        <f t="shared" si="1"/>
        <v>7433.030000000001</v>
      </c>
      <c r="V26" s="49">
        <f t="shared" si="1"/>
        <v>7424.04</v>
      </c>
      <c r="W26" s="49">
        <f t="shared" si="1"/>
        <v>7380.73</v>
      </c>
      <c r="X26" s="35">
        <v>7421</v>
      </c>
      <c r="Y26" s="35">
        <v>7421</v>
      </c>
      <c r="Z26" s="35">
        <v>7414</v>
      </c>
      <c r="AA26" s="14">
        <v>7466.6</v>
      </c>
      <c r="AB26" s="14">
        <v>7472.5</v>
      </c>
      <c r="AC26" s="14">
        <v>7472.699999999999</v>
      </c>
      <c r="AD26" s="14"/>
    </row>
    <row r="27" spans="1:23" ht="15">
      <c r="A27" s="4"/>
      <c r="B27" s="4"/>
      <c r="C27" s="63" t="s">
        <v>7</v>
      </c>
      <c r="D27" s="4"/>
      <c r="E27" s="4"/>
      <c r="F27" s="14"/>
      <c r="G27" s="14"/>
      <c r="H27" s="14"/>
      <c r="I27" s="14"/>
      <c r="J27" s="14"/>
      <c r="K27" s="14"/>
      <c r="L27" s="116"/>
      <c r="M27" s="14"/>
      <c r="N27" s="14"/>
      <c r="O27"/>
      <c r="P27" s="31"/>
      <c r="Q27" s="31"/>
      <c r="R27" s="31"/>
      <c r="S27" s="35"/>
      <c r="T27" s="35"/>
      <c r="U27" s="35"/>
      <c r="W27" s="33"/>
    </row>
    <row r="28" spans="1:30" ht="15">
      <c r="A28" s="4"/>
      <c r="B28" s="4"/>
      <c r="C28" s="4"/>
      <c r="D28" s="4" t="s">
        <v>8</v>
      </c>
      <c r="E28" s="4"/>
      <c r="F28" s="14">
        <v>1249.6</v>
      </c>
      <c r="G28" s="14">
        <v>1241.5</v>
      </c>
      <c r="H28" s="14">
        <v>1243.4</v>
      </c>
      <c r="I28" s="14">
        <v>1270.9</v>
      </c>
      <c r="J28" s="14">
        <v>1244.3</v>
      </c>
      <c r="K28" s="14">
        <v>1364.35</v>
      </c>
      <c r="L28" s="116">
        <v>1331</v>
      </c>
      <c r="M28" s="14">
        <v>1366.8</v>
      </c>
      <c r="N28" s="14">
        <v>1383.1</v>
      </c>
      <c r="O28" s="120">
        <v>1384.62</v>
      </c>
      <c r="P28" s="31">
        <v>1416.1</v>
      </c>
      <c r="Q28" s="31">
        <v>1428.91</v>
      </c>
      <c r="R28" s="35">
        <v>1436.9</v>
      </c>
      <c r="S28" s="35">
        <v>1440.37</v>
      </c>
      <c r="T28" s="35">
        <v>1440.37</v>
      </c>
      <c r="U28" s="35">
        <f>140.49+1312.48</f>
        <v>1452.97</v>
      </c>
      <c r="V28" s="35">
        <v>1485.12</v>
      </c>
      <c r="W28" s="35">
        <v>1491.28</v>
      </c>
      <c r="X28" s="35">
        <v>1515</v>
      </c>
      <c r="Y28" s="35">
        <v>1507.64</v>
      </c>
      <c r="Z28" s="35">
        <v>1509</v>
      </c>
      <c r="AA28" s="35">
        <v>1559.3</v>
      </c>
      <c r="AB28" s="35">
        <v>1566.8399999999997</v>
      </c>
      <c r="AC28" s="35">
        <v>1571.8</v>
      </c>
      <c r="AD28" s="35"/>
    </row>
    <row r="29" spans="1:30" ht="15">
      <c r="A29" s="4"/>
      <c r="B29" s="4"/>
      <c r="C29" s="4"/>
      <c r="D29" s="4" t="s">
        <v>9</v>
      </c>
      <c r="E29" s="4"/>
      <c r="F29" s="14">
        <v>6418.1</v>
      </c>
      <c r="G29" s="14">
        <v>6402.8</v>
      </c>
      <c r="H29" s="14">
        <v>6403.2</v>
      </c>
      <c r="I29" s="14">
        <v>6335.5</v>
      </c>
      <c r="J29" s="14">
        <v>6311</v>
      </c>
      <c r="K29" s="14">
        <v>6217.3</v>
      </c>
      <c r="L29" s="116">
        <v>6026.9</v>
      </c>
      <c r="M29" s="14">
        <v>6005.9</v>
      </c>
      <c r="N29" s="14">
        <v>5999.6</v>
      </c>
      <c r="O29" s="120">
        <v>6005.11</v>
      </c>
      <c r="P29" s="31">
        <v>5997.52</v>
      </c>
      <c r="Q29" s="31">
        <v>5978.15</v>
      </c>
      <c r="R29" s="35">
        <v>5980.36</v>
      </c>
      <c r="S29" s="35">
        <v>5977.36</v>
      </c>
      <c r="T29" s="35">
        <v>5977.36</v>
      </c>
      <c r="U29" s="35">
        <f>105+5875.06</f>
        <v>5980.06</v>
      </c>
      <c r="V29" s="35">
        <v>5938.92</v>
      </c>
      <c r="W29" s="35">
        <v>5889.45</v>
      </c>
      <c r="X29" s="35">
        <v>5906</v>
      </c>
      <c r="Y29" s="35">
        <v>5913.28</v>
      </c>
      <c r="Z29" s="35">
        <v>5905</v>
      </c>
      <c r="AA29" s="35">
        <v>5907.3</v>
      </c>
      <c r="AB29" s="35">
        <v>5905.66</v>
      </c>
      <c r="AC29" s="35">
        <v>5900.9</v>
      </c>
      <c r="AD29" s="35"/>
    </row>
    <row r="30" spans="1:23" ht="6" customHeight="1">
      <c r="A30" s="4"/>
      <c r="B30" s="4"/>
      <c r="C30" s="4"/>
      <c r="D30" s="4"/>
      <c r="E30" s="4"/>
      <c r="F30" s="14"/>
      <c r="G30" s="14"/>
      <c r="H30" s="14"/>
      <c r="I30" s="14"/>
      <c r="J30" s="14"/>
      <c r="K30" s="14"/>
      <c r="L30" s="116"/>
      <c r="M30" s="14"/>
      <c r="N30" s="14"/>
      <c r="O30" s="14"/>
      <c r="P30" s="31"/>
      <c r="Q30" s="31"/>
      <c r="R30" s="31"/>
      <c r="S30" s="35"/>
      <c r="T30" s="35"/>
      <c r="U30" s="35"/>
      <c r="W30" s="33"/>
    </row>
    <row r="31" spans="1:30" ht="18.75">
      <c r="A31" s="4"/>
      <c r="B31" s="64" t="s">
        <v>145</v>
      </c>
      <c r="C31" s="61"/>
      <c r="D31" s="61"/>
      <c r="E31" s="61"/>
      <c r="F31" s="14">
        <v>7714.9</v>
      </c>
      <c r="G31" s="14">
        <v>7691.5</v>
      </c>
      <c r="H31" s="14">
        <v>7693.8</v>
      </c>
      <c r="I31" s="14">
        <v>7663.7</v>
      </c>
      <c r="J31" s="14">
        <v>7612.6</v>
      </c>
      <c r="K31" s="14">
        <v>7634.65</v>
      </c>
      <c r="L31" s="116">
        <v>7357.9</v>
      </c>
      <c r="M31" s="14">
        <v>7372.7</v>
      </c>
      <c r="N31" s="14">
        <v>7382.7</v>
      </c>
      <c r="O31" s="14">
        <v>7389.73</v>
      </c>
      <c r="P31" s="109">
        <f aca="true" t="shared" si="2" ref="P31:V31">SUM(P28:P29)</f>
        <v>7413.620000000001</v>
      </c>
      <c r="Q31" s="110">
        <f t="shared" si="2"/>
        <v>7407.0599999999995</v>
      </c>
      <c r="R31" s="110">
        <f t="shared" si="2"/>
        <v>7417.26</v>
      </c>
      <c r="S31" s="110">
        <f t="shared" si="2"/>
        <v>7417.73</v>
      </c>
      <c r="T31" s="110">
        <f t="shared" si="2"/>
        <v>7417.73</v>
      </c>
      <c r="U31" s="110">
        <f t="shared" si="2"/>
        <v>7433.030000000001</v>
      </c>
      <c r="V31" s="110">
        <f t="shared" si="2"/>
        <v>7424.04</v>
      </c>
      <c r="W31" s="110">
        <f aca="true" t="shared" si="3" ref="W31:AD31">SUM(W28:W29)</f>
        <v>7380.73</v>
      </c>
      <c r="X31" s="110">
        <f t="shared" si="3"/>
        <v>7421</v>
      </c>
      <c r="Y31" s="110">
        <f t="shared" si="3"/>
        <v>7420.92</v>
      </c>
      <c r="Z31" s="110">
        <f t="shared" si="3"/>
        <v>7414</v>
      </c>
      <c r="AA31" s="110">
        <f t="shared" si="3"/>
        <v>7466.6</v>
      </c>
      <c r="AB31" s="110">
        <f t="shared" si="3"/>
        <v>7472.5</v>
      </c>
      <c r="AC31" s="110">
        <f t="shared" si="3"/>
        <v>7472.7</v>
      </c>
      <c r="AD31" s="110">
        <f t="shared" si="3"/>
        <v>0</v>
      </c>
    </row>
    <row r="32" spans="1:26" ht="15.75" customHeight="1">
      <c r="A32" s="4"/>
      <c r="B32" s="4"/>
      <c r="C32" s="4"/>
      <c r="D32" s="4"/>
      <c r="E32" s="4"/>
      <c r="F32" s="117" t="s">
        <v>116</v>
      </c>
      <c r="G32" s="117" t="s">
        <v>116</v>
      </c>
      <c r="H32" s="117" t="s">
        <v>116</v>
      </c>
      <c r="I32" s="117" t="s">
        <v>116</v>
      </c>
      <c r="J32" s="117" t="s">
        <v>116</v>
      </c>
      <c r="K32" s="117" t="s">
        <v>116</v>
      </c>
      <c r="L32" s="117"/>
      <c r="M32" s="117"/>
      <c r="N32" s="117"/>
      <c r="O32" s="14"/>
      <c r="P32" s="53" t="str">
        <f>IF(ABS(P31-(P22+P26))&gt;comments!$A$1,P31-(P22+P26)," ")</f>
        <v> </v>
      </c>
      <c r="Q32" s="53" t="str">
        <f>IF(ABS(Q31-(Q22+Q26))&gt;comments!$A$1,Q31-(Q22+Q26)," ")</f>
        <v> </v>
      </c>
      <c r="R32" s="53" t="str">
        <f>IF(ABS(R31-(R22+R26))&gt;comments!$A$1,R31-(R22+R26)," ")</f>
        <v> </v>
      </c>
      <c r="S32" s="53" t="str">
        <f>IF(ABS(S31-(S22+S26))&gt;comments!$A$1,S31-(S22+S26)," ")</f>
        <v> </v>
      </c>
      <c r="T32" s="53" t="str">
        <f>IF(ABS(T31-(T22+T26))&gt;comments!$A$1,T31-(T22+T26)," ")</f>
        <v> </v>
      </c>
      <c r="U32" s="53" t="str">
        <f>IF(ABS(U31-(U22+U26))&gt;comments!$A$1,U31-(U22+U26)," ")</f>
        <v> </v>
      </c>
      <c r="V32" s="53" t="str">
        <f>IF(ABS(V31-(V22+V26))&gt;comments!$A$1,V31-(V22+V26)," ")</f>
        <v> </v>
      </c>
      <c r="W32" s="60" t="str">
        <f>IF(ABS(W31-(W22+W26))&gt;comments!$A$1,W31-(W22+W26)," ")</f>
        <v> </v>
      </c>
      <c r="X32" s="60" t="str">
        <f>IF(ABS(X31-(X22+X26))&gt;comments!$A$1,X31-(X22+X26)," ")</f>
        <v> </v>
      </c>
      <c r="Y32" s="60" t="str">
        <f>IF(ABS(Y31-(Y22+Y26))&gt;comments!$A$1,Y31-(Y22+Y26)," ")</f>
        <v> </v>
      </c>
      <c r="Z32" s="60" t="str">
        <f>IF(ABS(Z31-(Z22+Z26))&gt;comments!$A$1,Z31-(Z22+Z26)," ")</f>
        <v> </v>
      </c>
    </row>
    <row r="33" spans="1:23" ht="18.75">
      <c r="A33" s="61" t="s">
        <v>176</v>
      </c>
      <c r="B33" s="4"/>
      <c r="C33" s="4"/>
      <c r="D33" s="4"/>
      <c r="E33" s="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1"/>
      <c r="T33" s="33"/>
      <c r="U33" s="33"/>
      <c r="V33" s="33"/>
      <c r="W33" s="33"/>
    </row>
    <row r="34" spans="1:23" ht="15">
      <c r="A34" s="4"/>
      <c r="B34" s="62" t="s">
        <v>10</v>
      </c>
      <c r="C34" s="4"/>
      <c r="D34" s="4"/>
      <c r="E34" s="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1"/>
      <c r="T34" s="33"/>
      <c r="U34" s="33"/>
      <c r="V34" s="33"/>
      <c r="W34" s="33"/>
    </row>
    <row r="35" spans="1:30" ht="15">
      <c r="A35" s="4"/>
      <c r="B35" s="4"/>
      <c r="C35" s="62" t="s">
        <v>11</v>
      </c>
      <c r="D35" s="4"/>
      <c r="E35" s="4"/>
      <c r="F35" s="14">
        <v>795.3</v>
      </c>
      <c r="G35" s="14">
        <v>830.1</v>
      </c>
      <c r="H35" s="14">
        <v>836</v>
      </c>
      <c r="I35" s="14">
        <v>841.1</v>
      </c>
      <c r="J35" s="14">
        <v>890.3</v>
      </c>
      <c r="K35" s="14">
        <v>918.1</v>
      </c>
      <c r="L35" s="14">
        <v>1020.5</v>
      </c>
      <c r="M35" s="14">
        <v>1045.5</v>
      </c>
      <c r="N35" s="14">
        <v>1056.1</v>
      </c>
      <c r="O35" s="14">
        <v>1041.66</v>
      </c>
      <c r="P35" s="31">
        <v>1053.43</v>
      </c>
      <c r="Q35" s="31">
        <v>1067.41</v>
      </c>
      <c r="R35" s="35">
        <v>1089.63</v>
      </c>
      <c r="S35" s="35">
        <v>1092.18</v>
      </c>
      <c r="T35" s="35">
        <v>1092.18</v>
      </c>
      <c r="U35" s="35">
        <f>26.9+1069.38</f>
        <v>1096.2800000000002</v>
      </c>
      <c r="V35" s="35">
        <v>1140.98</v>
      </c>
      <c r="W35" s="35">
        <v>1151.52</v>
      </c>
      <c r="X35" s="35">
        <v>1174</v>
      </c>
      <c r="Y35" s="35">
        <v>1175.66</v>
      </c>
      <c r="Z35" s="35">
        <v>1170</v>
      </c>
      <c r="AA35" s="35">
        <v>1188.6</v>
      </c>
      <c r="AB35" s="35">
        <v>1194.27</v>
      </c>
      <c r="AC35" s="35">
        <v>1194.1</v>
      </c>
      <c r="AD35" s="35"/>
    </row>
    <row r="36" spans="1:30" ht="15">
      <c r="A36" s="4"/>
      <c r="B36" s="4"/>
      <c r="C36" s="62" t="s">
        <v>12</v>
      </c>
      <c r="D36" s="4"/>
      <c r="E36" s="4"/>
      <c r="F36" s="14">
        <v>6365.1</v>
      </c>
      <c r="G36" s="14">
        <v>6408.5</v>
      </c>
      <c r="H36" s="14">
        <v>6437.2</v>
      </c>
      <c r="I36" s="14">
        <v>6411.3</v>
      </c>
      <c r="J36" s="14">
        <v>6420.8</v>
      </c>
      <c r="K36" s="14">
        <v>5819.6</v>
      </c>
      <c r="L36" s="14">
        <v>6292.6</v>
      </c>
      <c r="M36" s="14">
        <v>6329.7</v>
      </c>
      <c r="N36" s="14">
        <v>6302.7</v>
      </c>
      <c r="O36" s="14">
        <v>6305.68</v>
      </c>
      <c r="P36" s="31">
        <v>6324.34</v>
      </c>
      <c r="Q36" s="31">
        <v>6325.1</v>
      </c>
      <c r="R36" s="35">
        <v>6329.44</v>
      </c>
      <c r="S36" s="35">
        <v>6346.12</v>
      </c>
      <c r="T36" s="35">
        <v>6346.12</v>
      </c>
      <c r="U36" s="35">
        <f>39.2+6322.12</f>
        <v>6361.32</v>
      </c>
      <c r="V36" s="35">
        <v>6318.19</v>
      </c>
      <c r="W36" s="35">
        <v>6349.43</v>
      </c>
      <c r="X36" s="35">
        <v>6292</v>
      </c>
      <c r="Y36" s="35">
        <v>6317.55</v>
      </c>
      <c r="Z36" s="35">
        <v>6311</v>
      </c>
      <c r="AA36" s="35">
        <v>6309.9</v>
      </c>
      <c r="AB36" s="35">
        <v>6309.25</v>
      </c>
      <c r="AC36" s="35">
        <v>6305.4</v>
      </c>
      <c r="AD36" s="35"/>
    </row>
    <row r="37" spans="1:30" ht="15">
      <c r="A37" s="4"/>
      <c r="B37" s="4"/>
      <c r="C37" s="62" t="s">
        <v>13</v>
      </c>
      <c r="D37" s="4"/>
      <c r="E37" s="4"/>
      <c r="F37" s="14">
        <v>7160.4</v>
      </c>
      <c r="G37" s="14">
        <v>7238.6</v>
      </c>
      <c r="H37" s="14">
        <v>7273.1</v>
      </c>
      <c r="I37" s="14">
        <v>7252.4</v>
      </c>
      <c r="J37" s="14">
        <v>7311.1</v>
      </c>
      <c r="K37" s="14">
        <v>6737.7</v>
      </c>
      <c r="L37" s="14">
        <v>7313.1</v>
      </c>
      <c r="M37" s="14">
        <v>7375.2</v>
      </c>
      <c r="N37" s="14">
        <v>7358.8</v>
      </c>
      <c r="O37" s="14">
        <f>SUM(O35:O36)</f>
        <v>7347.34</v>
      </c>
      <c r="P37" s="50">
        <f aca="true" t="shared" si="4" ref="P37:AD37">SUM(P35:P36)</f>
        <v>7377.77</v>
      </c>
      <c r="Q37" s="50">
        <f t="shared" si="4"/>
        <v>7392.51</v>
      </c>
      <c r="R37" s="50">
        <f t="shared" si="4"/>
        <v>7419.07</v>
      </c>
      <c r="S37" s="49">
        <f t="shared" si="4"/>
        <v>7438.3</v>
      </c>
      <c r="T37" s="49">
        <f t="shared" si="4"/>
        <v>7438.3</v>
      </c>
      <c r="U37" s="49">
        <f t="shared" si="4"/>
        <v>7457.6</v>
      </c>
      <c r="V37" s="49">
        <f t="shared" si="4"/>
        <v>7459.17</v>
      </c>
      <c r="W37" s="49">
        <f t="shared" si="4"/>
        <v>7500.950000000001</v>
      </c>
      <c r="X37" s="49">
        <f t="shared" si="4"/>
        <v>7466</v>
      </c>
      <c r="Y37" s="49">
        <f t="shared" si="4"/>
        <v>7493.21</v>
      </c>
      <c r="Z37" s="49">
        <f t="shared" si="4"/>
        <v>7481</v>
      </c>
      <c r="AA37" s="49">
        <f t="shared" si="4"/>
        <v>7498.5</v>
      </c>
      <c r="AB37" s="49">
        <f t="shared" si="4"/>
        <v>7503.52</v>
      </c>
      <c r="AC37" s="49">
        <f t="shared" si="4"/>
        <v>7499.5</v>
      </c>
      <c r="AD37" s="49">
        <f t="shared" si="4"/>
        <v>0</v>
      </c>
    </row>
    <row r="38" spans="1:23" ht="15">
      <c r="A38" s="4"/>
      <c r="B38" s="62" t="s">
        <v>14</v>
      </c>
      <c r="C38" s="4"/>
      <c r="D38" s="4"/>
      <c r="E38" s="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1"/>
      <c r="Q38" s="31"/>
      <c r="R38" s="31"/>
      <c r="T38" s="33"/>
      <c r="U38" s="33"/>
      <c r="V38" s="33"/>
      <c r="W38" s="33"/>
    </row>
    <row r="39" spans="1:30" ht="15">
      <c r="A39" s="4"/>
      <c r="B39" s="4"/>
      <c r="C39" s="62" t="s">
        <v>11</v>
      </c>
      <c r="D39" s="4"/>
      <c r="E39" s="4"/>
      <c r="F39" s="14">
        <v>978.2</v>
      </c>
      <c r="G39" s="14">
        <v>1012.3</v>
      </c>
      <c r="H39" s="14">
        <v>991.6</v>
      </c>
      <c r="I39" s="14">
        <v>997.2</v>
      </c>
      <c r="J39" s="14">
        <v>1056.1</v>
      </c>
      <c r="K39" s="14">
        <v>1196.5</v>
      </c>
      <c r="L39" s="14">
        <v>1121.2</v>
      </c>
      <c r="M39" s="14">
        <v>1113.3</v>
      </c>
      <c r="N39" s="14">
        <v>1131</v>
      </c>
      <c r="O39" s="14">
        <v>1176.24</v>
      </c>
      <c r="P39" s="31">
        <v>1204.88</v>
      </c>
      <c r="Q39" s="31">
        <v>1219.01</v>
      </c>
      <c r="R39" s="35">
        <v>1241.78</v>
      </c>
      <c r="S39" s="35">
        <v>1273.5</v>
      </c>
      <c r="T39" s="35">
        <v>1273.5</v>
      </c>
      <c r="U39" s="35">
        <f>5.1+1271.23</f>
        <v>1276.33</v>
      </c>
      <c r="V39" s="35">
        <v>1353.42</v>
      </c>
      <c r="W39" s="35">
        <v>1266.47</v>
      </c>
      <c r="X39" s="35">
        <v>1576</v>
      </c>
      <c r="Y39" s="35">
        <v>1556.11</v>
      </c>
      <c r="Z39" s="35">
        <v>1555</v>
      </c>
      <c r="AA39" s="35">
        <v>1582.2</v>
      </c>
      <c r="AB39" s="35">
        <v>1586</v>
      </c>
      <c r="AC39" s="35">
        <v>1592.8</v>
      </c>
      <c r="AD39" s="35"/>
    </row>
    <row r="40" spans="1:30" ht="15">
      <c r="A40" s="4"/>
      <c r="B40" s="4"/>
      <c r="C40" s="62" t="s">
        <v>12</v>
      </c>
      <c r="D40" s="4"/>
      <c r="E40" s="4"/>
      <c r="F40" s="14">
        <v>9248.8</v>
      </c>
      <c r="G40" s="14">
        <v>9256</v>
      </c>
      <c r="H40" s="14">
        <v>9242.6</v>
      </c>
      <c r="I40" s="14">
        <v>9253.9</v>
      </c>
      <c r="J40" s="14">
        <v>9246.6</v>
      </c>
      <c r="K40" s="14">
        <v>9724.8</v>
      </c>
      <c r="L40" s="14">
        <v>9287.2</v>
      </c>
      <c r="M40" s="14">
        <v>9238.7</v>
      </c>
      <c r="N40" s="14">
        <v>9209.1</v>
      </c>
      <c r="O40" s="14">
        <v>9152.83</v>
      </c>
      <c r="P40" s="31">
        <v>9094.09</v>
      </c>
      <c r="Q40" s="31">
        <v>9103.59</v>
      </c>
      <c r="R40" s="35">
        <v>9079.49</v>
      </c>
      <c r="S40" s="35">
        <v>9051.8</v>
      </c>
      <c r="T40" s="35">
        <v>9051.8</v>
      </c>
      <c r="U40" s="35">
        <f>1.9+9057.52</f>
        <v>9059.42</v>
      </c>
      <c r="V40" s="35">
        <v>9065.3</v>
      </c>
      <c r="W40" s="35">
        <v>9104.16</v>
      </c>
      <c r="X40" s="35">
        <v>9091</v>
      </c>
      <c r="Y40" s="35">
        <v>9101.98</v>
      </c>
      <c r="Z40" s="35">
        <v>9098</v>
      </c>
      <c r="AA40" s="35">
        <v>9104.8</v>
      </c>
      <c r="AB40" s="35">
        <v>9103.629999999997</v>
      </c>
      <c r="AC40" s="35">
        <v>9097.7</v>
      </c>
      <c r="AD40" s="35"/>
    </row>
    <row r="41" spans="1:30" ht="15">
      <c r="A41" s="4"/>
      <c r="B41" s="4"/>
      <c r="C41" s="62" t="s">
        <v>13</v>
      </c>
      <c r="D41" s="4"/>
      <c r="E41" s="4"/>
      <c r="F41" s="14">
        <v>10227</v>
      </c>
      <c r="G41" s="14">
        <v>10248.3</v>
      </c>
      <c r="H41" s="14">
        <v>10234.2</v>
      </c>
      <c r="I41" s="14">
        <v>10251.1</v>
      </c>
      <c r="J41" s="14">
        <v>10302.65</v>
      </c>
      <c r="K41" s="14">
        <v>10921.3</v>
      </c>
      <c r="L41" s="14">
        <v>10408.4</v>
      </c>
      <c r="M41" s="14">
        <v>10352</v>
      </c>
      <c r="N41" s="14">
        <v>10340.1</v>
      </c>
      <c r="O41" s="14">
        <f>SUM(O39:O40)</f>
        <v>10329.07</v>
      </c>
      <c r="P41" s="50">
        <f aca="true" t="shared" si="5" ref="P41:AD41">SUM(P39:P40)</f>
        <v>10298.970000000001</v>
      </c>
      <c r="Q41" s="50">
        <f t="shared" si="5"/>
        <v>10322.6</v>
      </c>
      <c r="R41" s="50">
        <f t="shared" si="5"/>
        <v>10321.27</v>
      </c>
      <c r="S41" s="49">
        <f t="shared" si="5"/>
        <v>10325.3</v>
      </c>
      <c r="T41" s="49">
        <f t="shared" si="5"/>
        <v>10325.3</v>
      </c>
      <c r="U41" s="49">
        <f t="shared" si="5"/>
        <v>10335.75</v>
      </c>
      <c r="V41" s="49">
        <f t="shared" si="5"/>
        <v>10418.72</v>
      </c>
      <c r="W41" s="49">
        <f t="shared" si="5"/>
        <v>10370.63</v>
      </c>
      <c r="X41" s="49">
        <f t="shared" si="5"/>
        <v>10667</v>
      </c>
      <c r="Y41" s="49">
        <f t="shared" si="5"/>
        <v>10658.09</v>
      </c>
      <c r="Z41" s="49">
        <f t="shared" si="5"/>
        <v>10653</v>
      </c>
      <c r="AA41" s="49">
        <f t="shared" si="5"/>
        <v>10687</v>
      </c>
      <c r="AB41" s="49">
        <f t="shared" si="5"/>
        <v>10689.629999999997</v>
      </c>
      <c r="AC41" s="49">
        <f t="shared" si="5"/>
        <v>10690.5</v>
      </c>
      <c r="AD41" s="49">
        <f t="shared" si="5"/>
        <v>0</v>
      </c>
    </row>
    <row r="42" spans="1:23" ht="15">
      <c r="A42" s="4"/>
      <c r="B42" s="4" t="s">
        <v>15</v>
      </c>
      <c r="C42" s="4"/>
      <c r="D42" s="4"/>
      <c r="E42" s="4"/>
      <c r="F42" s="14"/>
      <c r="G42" s="14"/>
      <c r="H42" s="14"/>
      <c r="I42" s="14"/>
      <c r="J42" s="14"/>
      <c r="K42" s="14"/>
      <c r="L42" s="14"/>
      <c r="M42" s="14"/>
      <c r="N42" s="14"/>
      <c r="O42"/>
      <c r="P42" s="31"/>
      <c r="Q42" s="31"/>
      <c r="R42" s="31"/>
      <c r="T42" s="33"/>
      <c r="U42" s="33"/>
      <c r="V42" s="33"/>
      <c r="W42" s="33"/>
    </row>
    <row r="43" spans="1:30" ht="15">
      <c r="A43" s="4"/>
      <c r="B43" s="4"/>
      <c r="C43" s="62" t="s">
        <v>11</v>
      </c>
      <c r="D43" s="4"/>
      <c r="E43" s="4"/>
      <c r="F43" s="14">
        <v>11432.2</v>
      </c>
      <c r="G43" s="14">
        <v>11542</v>
      </c>
      <c r="H43" s="14">
        <v>11623.3</v>
      </c>
      <c r="I43" s="14">
        <v>11723.2</v>
      </c>
      <c r="J43" s="14">
        <v>12232</v>
      </c>
      <c r="K43" s="14">
        <v>12597.51</v>
      </c>
      <c r="L43" s="14">
        <v>12693</v>
      </c>
      <c r="M43" s="14">
        <v>13124</v>
      </c>
      <c r="N43" s="14">
        <v>13318.6</v>
      </c>
      <c r="O43" s="14">
        <v>13477.68</v>
      </c>
      <c r="P43" s="31">
        <v>13584.53</v>
      </c>
      <c r="Q43" s="31">
        <v>13714.27</v>
      </c>
      <c r="R43" s="35">
        <v>14224.65</v>
      </c>
      <c r="S43" s="35">
        <v>14175.720000000001</v>
      </c>
      <c r="T43" s="35">
        <v>14210.12</v>
      </c>
      <c r="U43" s="35">
        <v>14399.24</v>
      </c>
      <c r="V43" s="35">
        <v>14465.12</v>
      </c>
      <c r="W43" s="35">
        <v>14767.61</v>
      </c>
      <c r="X43" s="35">
        <v>14572.6</v>
      </c>
      <c r="Y43" s="35">
        <v>14714.41</v>
      </c>
      <c r="Z43" s="35">
        <v>14827.6</v>
      </c>
      <c r="AA43" s="35">
        <v>14856.046000000004</v>
      </c>
      <c r="AB43" s="35">
        <v>14947.670000000004</v>
      </c>
      <c r="AC43" s="35">
        <v>15020.2</v>
      </c>
      <c r="AD43" s="35"/>
    </row>
    <row r="44" spans="1:30" ht="15">
      <c r="A44" s="4"/>
      <c r="B44" s="4"/>
      <c r="C44" s="62" t="s">
        <v>12</v>
      </c>
      <c r="D44" s="4"/>
      <c r="E44" s="4"/>
      <c r="F44" s="14">
        <v>11944.4</v>
      </c>
      <c r="G44" s="14">
        <v>11974</v>
      </c>
      <c r="H44" s="14">
        <v>12027.6</v>
      </c>
      <c r="I44" s="14">
        <v>12037</v>
      </c>
      <c r="J44" s="14">
        <v>11660</v>
      </c>
      <c r="K44" s="14">
        <v>11672.2</v>
      </c>
      <c r="L44" s="14">
        <v>11837.2</v>
      </c>
      <c r="M44" s="14">
        <v>11491.2</v>
      </c>
      <c r="N44" s="14">
        <v>11454.5</v>
      </c>
      <c r="O44" s="14">
        <v>11497.32</v>
      </c>
      <c r="P44" s="31">
        <v>11720.6</v>
      </c>
      <c r="Q44" s="31">
        <v>11726.85</v>
      </c>
      <c r="R44" s="35">
        <v>11719.5</v>
      </c>
      <c r="S44" s="35">
        <v>11717.24</v>
      </c>
      <c r="T44" s="35">
        <v>11717.04</v>
      </c>
      <c r="U44" s="35">
        <f>2.3+11713.64</f>
        <v>11715.939999999999</v>
      </c>
      <c r="V44" s="35">
        <v>11683.34</v>
      </c>
      <c r="W44" s="35">
        <v>11660.97</v>
      </c>
      <c r="X44" s="35">
        <v>11712</v>
      </c>
      <c r="Y44" s="35">
        <v>11725.64</v>
      </c>
      <c r="Z44" s="35">
        <v>11732</v>
      </c>
      <c r="AA44" s="35">
        <v>11727.229000000001</v>
      </c>
      <c r="AB44" s="35">
        <v>11732.270000000002</v>
      </c>
      <c r="AC44" s="35">
        <v>11727.7</v>
      </c>
      <c r="AD44" s="35"/>
    </row>
    <row r="45" spans="1:30" ht="12.75" customHeight="1">
      <c r="A45" s="4"/>
      <c r="B45" s="4"/>
      <c r="C45" s="62" t="s">
        <v>13</v>
      </c>
      <c r="D45" s="4"/>
      <c r="E45" s="4"/>
      <c r="F45" s="14">
        <v>23377.2</v>
      </c>
      <c r="G45" s="14">
        <v>23516</v>
      </c>
      <c r="H45" s="14">
        <v>23650.9</v>
      </c>
      <c r="I45" s="14">
        <v>23760.2</v>
      </c>
      <c r="J45" s="14">
        <v>23892</v>
      </c>
      <c r="K45" s="14">
        <v>24269.71</v>
      </c>
      <c r="L45" s="14">
        <v>24530.2</v>
      </c>
      <c r="M45" s="14">
        <v>24617.6</v>
      </c>
      <c r="N45" s="14">
        <v>24775.5</v>
      </c>
      <c r="O45" s="14">
        <f>SUM(O43:O44)</f>
        <v>24975</v>
      </c>
      <c r="P45" s="50">
        <f aca="true" t="shared" si="6" ref="P45:AA45">SUM(P43:P44)</f>
        <v>25305.13</v>
      </c>
      <c r="Q45" s="50">
        <f t="shared" si="6"/>
        <v>25441.120000000003</v>
      </c>
      <c r="R45" s="50">
        <f t="shared" si="6"/>
        <v>25944.15</v>
      </c>
      <c r="S45" s="49">
        <f t="shared" si="6"/>
        <v>25892.96</v>
      </c>
      <c r="T45" s="49">
        <f t="shared" si="6"/>
        <v>25927.160000000003</v>
      </c>
      <c r="U45" s="49">
        <f t="shared" si="6"/>
        <v>26115.18</v>
      </c>
      <c r="V45" s="49">
        <f t="shared" si="6"/>
        <v>26148.46</v>
      </c>
      <c r="W45" s="49">
        <f t="shared" si="6"/>
        <v>26428.58</v>
      </c>
      <c r="X45" s="49">
        <f t="shared" si="6"/>
        <v>26284.6</v>
      </c>
      <c r="Y45" s="49">
        <f t="shared" si="6"/>
        <v>26440.05</v>
      </c>
      <c r="Z45" s="49">
        <f t="shared" si="6"/>
        <v>26559.6</v>
      </c>
      <c r="AA45" s="49">
        <f t="shared" si="6"/>
        <v>26583.275000000005</v>
      </c>
      <c r="AB45" s="49">
        <f>SUM(AB43:AB44)</f>
        <v>26679.940000000006</v>
      </c>
      <c r="AC45" s="49">
        <f>SUM(AC43:AC44)</f>
        <v>26747.9</v>
      </c>
      <c r="AD45" s="49">
        <f>SUM(AD43:AD44)</f>
        <v>0</v>
      </c>
    </row>
    <row r="46" spans="1:28" ht="6" customHeight="1">
      <c r="A46" s="4"/>
      <c r="B46" s="4"/>
      <c r="C46" s="62"/>
      <c r="D46" s="4"/>
      <c r="E46" s="4"/>
      <c r="F46" s="14"/>
      <c r="G46" s="14"/>
      <c r="H46" s="14"/>
      <c r="I46" s="14"/>
      <c r="J46" s="14"/>
      <c r="K46" s="14"/>
      <c r="L46" s="14"/>
      <c r="M46" s="14"/>
      <c r="N46" s="14"/>
      <c r="O46"/>
      <c r="P46" s="31"/>
      <c r="Q46" s="31"/>
      <c r="R46" s="31"/>
      <c r="T46" s="33"/>
      <c r="U46" s="33"/>
      <c r="V46" s="33"/>
      <c r="W46" s="33"/>
      <c r="AA46" s="33"/>
      <c r="AB46" s="33"/>
    </row>
    <row r="47" spans="1:30" s="111" customFormat="1" ht="12.75" customHeight="1">
      <c r="A47" s="61"/>
      <c r="B47" s="64" t="s">
        <v>16</v>
      </c>
      <c r="C47" s="61"/>
      <c r="D47" s="61"/>
      <c r="E47" s="61"/>
      <c r="F47" s="121">
        <f aca="true" t="shared" si="7" ref="F47:O47">F37+F41+F45</f>
        <v>40764.600000000006</v>
      </c>
      <c r="G47" s="121">
        <f t="shared" si="7"/>
        <v>41002.9</v>
      </c>
      <c r="H47" s="121">
        <f t="shared" si="7"/>
        <v>41158.200000000004</v>
      </c>
      <c r="I47" s="121">
        <f t="shared" si="7"/>
        <v>41263.7</v>
      </c>
      <c r="J47" s="121">
        <f t="shared" si="7"/>
        <v>41505.75</v>
      </c>
      <c r="K47" s="121">
        <f t="shared" si="7"/>
        <v>41928.71</v>
      </c>
      <c r="L47" s="121">
        <f t="shared" si="7"/>
        <v>42251.7</v>
      </c>
      <c r="M47" s="121">
        <f t="shared" si="7"/>
        <v>42344.8</v>
      </c>
      <c r="N47" s="121">
        <f>N37+N41+N45</f>
        <v>42474.4</v>
      </c>
      <c r="O47" s="121">
        <f t="shared" si="7"/>
        <v>42651.41</v>
      </c>
      <c r="P47" s="109">
        <f aca="true" t="shared" si="8" ref="P47:W47">P37+P41+P45</f>
        <v>42981.87</v>
      </c>
      <c r="Q47" s="109">
        <f t="shared" si="8"/>
        <v>43156.23</v>
      </c>
      <c r="R47" s="109">
        <f t="shared" si="8"/>
        <v>43684.490000000005</v>
      </c>
      <c r="S47" s="109">
        <f t="shared" si="8"/>
        <v>43656.56</v>
      </c>
      <c r="T47" s="110">
        <f t="shared" si="8"/>
        <v>43690.76</v>
      </c>
      <c r="U47" s="110">
        <f t="shared" si="8"/>
        <v>43908.53</v>
      </c>
      <c r="V47" s="110">
        <f t="shared" si="8"/>
        <v>44026.35</v>
      </c>
      <c r="W47" s="110">
        <f t="shared" si="8"/>
        <v>44300.16</v>
      </c>
      <c r="X47" s="110">
        <f aca="true" t="shared" si="9" ref="X47:AC47">X37+X41+X45</f>
        <v>44417.6</v>
      </c>
      <c r="Y47" s="110">
        <f t="shared" si="9"/>
        <v>44591.35</v>
      </c>
      <c r="Z47" s="110">
        <f t="shared" si="9"/>
        <v>44693.6</v>
      </c>
      <c r="AA47" s="110">
        <f t="shared" si="9"/>
        <v>44768.77500000001</v>
      </c>
      <c r="AB47" s="110">
        <f t="shared" si="9"/>
        <v>44873.090000000004</v>
      </c>
      <c r="AC47" s="110">
        <f t="shared" si="9"/>
        <v>44937.9</v>
      </c>
      <c r="AD47" s="110">
        <f>AD37+AD41+AD45</f>
        <v>0</v>
      </c>
    </row>
    <row r="48" spans="1:28" ht="14.25" customHeight="1">
      <c r="A48" s="4"/>
      <c r="B48" s="4"/>
      <c r="C48" s="4"/>
      <c r="D48" s="4"/>
      <c r="E48" s="4"/>
      <c r="F48" s="117" t="s">
        <v>116</v>
      </c>
      <c r="G48" s="117" t="s">
        <v>116</v>
      </c>
      <c r="H48" s="117" t="s">
        <v>116</v>
      </c>
      <c r="I48" s="117" t="s">
        <v>116</v>
      </c>
      <c r="J48" s="117" t="s">
        <v>116</v>
      </c>
      <c r="K48" s="117" t="s">
        <v>116</v>
      </c>
      <c r="L48" s="117" t="s">
        <v>116</v>
      </c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</row>
    <row r="49" spans="1:23" ht="15.75" customHeight="1">
      <c r="A49" s="64" t="s">
        <v>161</v>
      </c>
      <c r="B49" s="4"/>
      <c r="C49" s="4"/>
      <c r="D49" s="4"/>
      <c r="E49" s="4"/>
      <c r="F49" s="14"/>
      <c r="G49" s="14"/>
      <c r="H49" s="14"/>
      <c r="I49" s="14"/>
      <c r="J49" s="14"/>
      <c r="K49" s="14"/>
      <c r="L49" s="14"/>
      <c r="M49" s="14"/>
      <c r="N49" s="14"/>
      <c r="O49"/>
      <c r="P49" s="14"/>
      <c r="R49" s="31"/>
      <c r="T49" s="33"/>
      <c r="U49" s="33"/>
      <c r="V49" s="33"/>
      <c r="W49" s="33"/>
    </row>
    <row r="50" spans="1:23" ht="15">
      <c r="A50" s="4"/>
      <c r="B50" s="4" t="s">
        <v>0</v>
      </c>
      <c r="C50" s="4"/>
      <c r="D50" s="4"/>
      <c r="E50" s="4"/>
      <c r="F50" s="14"/>
      <c r="G50" s="14"/>
      <c r="H50" s="14"/>
      <c r="I50" s="14"/>
      <c r="J50" s="14"/>
      <c r="K50" s="14"/>
      <c r="L50" s="14"/>
      <c r="M50" s="14"/>
      <c r="N50" s="14"/>
      <c r="O50"/>
      <c r="P50" s="14"/>
      <c r="R50" s="31"/>
      <c r="T50" s="33"/>
      <c r="U50" s="33"/>
      <c r="V50" s="33"/>
      <c r="W50" s="33"/>
    </row>
    <row r="51" spans="1:30" ht="15">
      <c r="A51" s="4"/>
      <c r="B51" s="4"/>
      <c r="C51" s="4" t="s">
        <v>1</v>
      </c>
      <c r="D51" s="4"/>
      <c r="E51" s="4"/>
      <c r="F51" s="121">
        <f aca="true" t="shared" si="10" ref="F51:K52">F6+F21</f>
        <v>258.5</v>
      </c>
      <c r="G51" s="121">
        <f t="shared" si="10"/>
        <v>257.40000000000003</v>
      </c>
      <c r="H51" s="121">
        <f t="shared" si="10"/>
        <v>268.5</v>
      </c>
      <c r="I51" s="121">
        <f t="shared" si="10"/>
        <v>285.5</v>
      </c>
      <c r="J51" s="121">
        <f t="shared" si="10"/>
        <v>305</v>
      </c>
      <c r="K51" s="121">
        <f t="shared" si="10"/>
        <v>310.59999999999997</v>
      </c>
      <c r="L51" s="121">
        <f aca="true" t="shared" si="11" ref="L51:N52">L6</f>
        <v>310.9</v>
      </c>
      <c r="M51" s="121">
        <f t="shared" si="11"/>
        <v>328.9</v>
      </c>
      <c r="N51" s="121">
        <f t="shared" si="11"/>
        <v>369.1</v>
      </c>
      <c r="O51" s="121">
        <f>O6</f>
        <v>371</v>
      </c>
      <c r="P51" s="56">
        <f aca="true" t="shared" si="12" ref="P51:Y51">P6</f>
        <v>378</v>
      </c>
      <c r="Q51" s="56">
        <f t="shared" si="12"/>
        <v>371</v>
      </c>
      <c r="R51" s="51">
        <f t="shared" si="12"/>
        <v>371</v>
      </c>
      <c r="S51" s="51">
        <f t="shared" si="12"/>
        <v>371</v>
      </c>
      <c r="T51" s="51">
        <f t="shared" si="12"/>
        <v>371</v>
      </c>
      <c r="U51" s="51">
        <f t="shared" si="12"/>
        <v>377</v>
      </c>
      <c r="V51" s="51">
        <f t="shared" si="12"/>
        <v>392</v>
      </c>
      <c r="W51" s="51">
        <f t="shared" si="12"/>
        <v>392</v>
      </c>
      <c r="X51" s="51">
        <f t="shared" si="12"/>
        <v>392</v>
      </c>
      <c r="Y51" s="51">
        <f t="shared" si="12"/>
        <v>390</v>
      </c>
      <c r="Z51" s="51">
        <f aca="true" t="shared" si="13" ref="Z51:AB52">Z6</f>
        <v>389</v>
      </c>
      <c r="AA51" s="51">
        <f t="shared" si="13"/>
        <v>397</v>
      </c>
      <c r="AB51" s="51">
        <f t="shared" si="13"/>
        <v>421.4999999999999</v>
      </c>
      <c r="AC51" s="51">
        <f>AC6</f>
        <v>426.09999999999997</v>
      </c>
      <c r="AD51" s="51">
        <f>AD6</f>
        <v>419.822</v>
      </c>
    </row>
    <row r="52" spans="1:30" ht="15">
      <c r="A52" s="4"/>
      <c r="B52" s="4"/>
      <c r="C52" s="4" t="s">
        <v>2</v>
      </c>
      <c r="D52" s="4"/>
      <c r="E52" s="4"/>
      <c r="F52" s="121">
        <f t="shared" si="10"/>
        <v>359.3</v>
      </c>
      <c r="G52" s="121">
        <f t="shared" si="10"/>
        <v>362.5</v>
      </c>
      <c r="H52" s="121">
        <f t="shared" si="10"/>
        <v>372.7</v>
      </c>
      <c r="I52" s="121">
        <f t="shared" si="10"/>
        <v>396</v>
      </c>
      <c r="J52" s="121">
        <f t="shared" si="10"/>
        <v>424.8</v>
      </c>
      <c r="K52" s="121">
        <f t="shared" si="10"/>
        <v>440.5</v>
      </c>
      <c r="L52" s="121">
        <f t="shared" si="11"/>
        <v>460.4</v>
      </c>
      <c r="M52" s="121">
        <f t="shared" si="11"/>
        <v>482.59999999999997</v>
      </c>
      <c r="N52" s="121">
        <f t="shared" si="11"/>
        <v>532.1</v>
      </c>
      <c r="O52" s="121">
        <f>O7</f>
        <v>543</v>
      </c>
      <c r="P52" s="56">
        <f aca="true" t="shared" si="14" ref="P52:Y52">P7</f>
        <v>536.8</v>
      </c>
      <c r="Q52" s="56">
        <f t="shared" si="14"/>
        <v>519</v>
      </c>
      <c r="R52" s="51">
        <f t="shared" si="14"/>
        <v>519</v>
      </c>
      <c r="S52" s="51">
        <f t="shared" si="14"/>
        <v>519</v>
      </c>
      <c r="T52" s="51">
        <f t="shared" si="14"/>
        <v>519</v>
      </c>
      <c r="U52" s="51">
        <f t="shared" si="14"/>
        <v>525</v>
      </c>
      <c r="V52" s="51">
        <f t="shared" si="14"/>
        <v>546</v>
      </c>
      <c r="W52" s="51">
        <f t="shared" si="14"/>
        <v>547</v>
      </c>
      <c r="X52" s="51">
        <f t="shared" si="14"/>
        <v>547</v>
      </c>
      <c r="Y52" s="51">
        <f t="shared" si="14"/>
        <v>546</v>
      </c>
      <c r="Z52" s="51">
        <f t="shared" si="13"/>
        <v>544</v>
      </c>
      <c r="AA52" s="51">
        <f t="shared" si="13"/>
        <v>557</v>
      </c>
      <c r="AB52" s="51">
        <f t="shared" si="13"/>
        <v>598.8999999999999</v>
      </c>
      <c r="AC52" s="51">
        <f>AC7</f>
        <v>595.5999999999999</v>
      </c>
      <c r="AD52" s="51">
        <f>AD7</f>
        <v>599.603</v>
      </c>
    </row>
    <row r="53" spans="1:30" ht="15">
      <c r="A53" s="4"/>
      <c r="B53" s="63" t="s">
        <v>17</v>
      </c>
      <c r="C53" s="4"/>
      <c r="D53" s="4"/>
      <c r="E53" s="4"/>
      <c r="F53" s="14"/>
      <c r="G53" s="14"/>
      <c r="H53" s="14"/>
      <c r="I53" s="14"/>
      <c r="J53" s="14"/>
      <c r="K53" s="14"/>
      <c r="L53" s="14"/>
      <c r="M53" s="14"/>
      <c r="N53" s="14"/>
      <c r="O53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</row>
    <row r="54" spans="1:30" ht="18">
      <c r="A54" s="4"/>
      <c r="B54" s="4"/>
      <c r="C54" s="4" t="s">
        <v>136</v>
      </c>
      <c r="D54" s="4"/>
      <c r="E54" s="4"/>
      <c r="F54" s="14">
        <v>804.8</v>
      </c>
      <c r="G54" s="14">
        <v>865.6</v>
      </c>
      <c r="H54" s="14">
        <v>864.4</v>
      </c>
      <c r="I54" s="14">
        <v>861.8</v>
      </c>
      <c r="J54" s="14">
        <v>862.7</v>
      </c>
      <c r="K54" s="14">
        <v>832</v>
      </c>
      <c r="L54" s="14">
        <v>861</v>
      </c>
      <c r="M54" s="14">
        <v>820.5</v>
      </c>
      <c r="N54" s="14">
        <v>772.1</v>
      </c>
      <c r="O54" s="120">
        <v>768</v>
      </c>
      <c r="P54" s="49">
        <f aca="true" t="shared" si="15" ref="P54:AA54">P9+P24</f>
        <v>706.28</v>
      </c>
      <c r="Q54" s="49">
        <f t="shared" si="15"/>
        <v>729.26</v>
      </c>
      <c r="R54" s="49">
        <f t="shared" si="15"/>
        <v>736.98</v>
      </c>
      <c r="S54" s="49">
        <f t="shared" si="15"/>
        <v>730.69</v>
      </c>
      <c r="T54" s="49">
        <f t="shared" si="15"/>
        <v>732.69</v>
      </c>
      <c r="U54" s="49">
        <f t="shared" si="15"/>
        <v>769.49</v>
      </c>
      <c r="V54" s="49">
        <f t="shared" si="15"/>
        <v>772.69</v>
      </c>
      <c r="W54" s="49">
        <f t="shared" si="15"/>
        <v>762.99</v>
      </c>
      <c r="X54" s="125">
        <f t="shared" si="15"/>
        <v>764.3103216077543</v>
      </c>
      <c r="Y54" s="49">
        <f t="shared" si="15"/>
        <v>766.3103216077543</v>
      </c>
      <c r="Z54" s="125">
        <f t="shared" si="15"/>
        <v>752</v>
      </c>
      <c r="AA54" s="51">
        <f t="shared" si="15"/>
        <v>755.7</v>
      </c>
      <c r="AB54" s="51">
        <f>AB9+AB24</f>
        <v>785</v>
      </c>
      <c r="AC54" s="51">
        <f>AC9+AC24</f>
        <v>787.8</v>
      </c>
      <c r="AD54" s="51">
        <f>AD9+AD24</f>
        <v>503.833</v>
      </c>
    </row>
    <row r="55" spans="1:30" ht="18">
      <c r="A55" s="4"/>
      <c r="B55" s="4"/>
      <c r="C55" s="62" t="s">
        <v>137</v>
      </c>
      <c r="D55" s="4"/>
      <c r="E55" s="4"/>
      <c r="F55" s="14">
        <v>27160.3</v>
      </c>
      <c r="G55" s="14">
        <v>27199.1</v>
      </c>
      <c r="H55" s="14">
        <v>27161.2</v>
      </c>
      <c r="I55" s="14">
        <v>27116.7</v>
      </c>
      <c r="J55" s="14">
        <v>27166.2</v>
      </c>
      <c r="K55" s="14">
        <v>27259.55</v>
      </c>
      <c r="L55" s="14">
        <v>27226.2</v>
      </c>
      <c r="M55" s="14">
        <v>27228.7</v>
      </c>
      <c r="N55" s="14">
        <v>27245.1</v>
      </c>
      <c r="O55" s="120">
        <v>27235</v>
      </c>
      <c r="P55" s="49">
        <f aca="true" t="shared" si="16" ref="P55:W55">P10+P25+P41+P37</f>
        <v>27335.280000000002</v>
      </c>
      <c r="Q55" s="49">
        <f t="shared" si="16"/>
        <v>27269.89</v>
      </c>
      <c r="R55" s="49">
        <f t="shared" si="16"/>
        <v>27290.34</v>
      </c>
      <c r="S55" s="49">
        <f t="shared" si="16"/>
        <v>27316.64</v>
      </c>
      <c r="T55" s="49">
        <f t="shared" si="16"/>
        <v>27310.64</v>
      </c>
      <c r="U55" s="49">
        <f t="shared" si="16"/>
        <v>27331.89</v>
      </c>
      <c r="V55" s="49">
        <f t="shared" si="16"/>
        <v>27390.239999999998</v>
      </c>
      <c r="W55" s="49">
        <f t="shared" si="16"/>
        <v>27333.32</v>
      </c>
      <c r="X55" s="125">
        <f aca="true" t="shared" si="17" ref="X55:AC55">X10+X25+X41+X37</f>
        <v>27633.689678392246</v>
      </c>
      <c r="Y55" s="49">
        <f t="shared" si="17"/>
        <v>27660.989678392245</v>
      </c>
      <c r="Z55" s="125">
        <f t="shared" si="17"/>
        <v>27646</v>
      </c>
      <c r="AA55" s="51">
        <f t="shared" si="17"/>
        <v>27744.4</v>
      </c>
      <c r="AB55" s="51">
        <f t="shared" si="17"/>
        <v>27716.73</v>
      </c>
      <c r="AC55" s="51">
        <f t="shared" si="17"/>
        <v>27707</v>
      </c>
      <c r="AD55" s="51">
        <f>AD10+AD25+AD41+AD37</f>
        <v>2325.97</v>
      </c>
    </row>
    <row r="56" spans="1:30" s="111" customFormat="1" ht="15.75">
      <c r="A56" s="61"/>
      <c r="B56" s="61"/>
      <c r="C56" s="108" t="s">
        <v>6</v>
      </c>
      <c r="D56" s="61"/>
      <c r="E56" s="61"/>
      <c r="F56" s="121">
        <f aca="true" t="shared" si="18" ref="F56:M56">F26+F37+F41+F12</f>
        <v>27965.699999999997</v>
      </c>
      <c r="G56" s="121">
        <f t="shared" si="18"/>
        <v>28044.7</v>
      </c>
      <c r="H56" s="121">
        <f t="shared" si="18"/>
        <v>28025.5</v>
      </c>
      <c r="I56" s="121">
        <f t="shared" si="18"/>
        <v>27978.5</v>
      </c>
      <c r="J56" s="121">
        <f t="shared" si="18"/>
        <v>28028.850000000002</v>
      </c>
      <c r="K56" s="121">
        <f t="shared" si="18"/>
        <v>28091.55</v>
      </c>
      <c r="L56" s="121">
        <f t="shared" si="18"/>
        <v>28087.2</v>
      </c>
      <c r="M56" s="121">
        <f t="shared" si="18"/>
        <v>28049.2</v>
      </c>
      <c r="N56" s="121">
        <f>N26+N37+N41+N12</f>
        <v>28017.199999999997</v>
      </c>
      <c r="O56" s="121">
        <f>O26+O37+O41+O12</f>
        <v>28002.54</v>
      </c>
      <c r="P56" s="109">
        <f aca="true" t="shared" si="19" ref="P56:U56">P26+P37+P41+P12</f>
        <v>28041.56</v>
      </c>
      <c r="Q56" s="109">
        <f t="shared" si="19"/>
        <v>28095.15</v>
      </c>
      <c r="R56" s="110">
        <f t="shared" si="19"/>
        <v>28126.32</v>
      </c>
      <c r="S56" s="110">
        <f t="shared" si="19"/>
        <v>28147.329999999998</v>
      </c>
      <c r="T56" s="110">
        <f t="shared" si="19"/>
        <v>28144.329999999998</v>
      </c>
      <c r="U56" s="110">
        <f t="shared" si="19"/>
        <v>28206.38</v>
      </c>
      <c r="V56" s="110">
        <f>V26+V37+V41+V12</f>
        <v>28273.93</v>
      </c>
      <c r="W56" s="110">
        <f>W26+W37+W41+W12</f>
        <v>28210.309999999998</v>
      </c>
      <c r="X56" s="110">
        <f>X26+X37+X41+X12</f>
        <v>28512</v>
      </c>
      <c r="Y56" s="110">
        <f aca="true" t="shared" si="20" ref="Y56:AD56">Y12+Y26+Y37+Y41</f>
        <v>28546.3</v>
      </c>
      <c r="Z56" s="110">
        <f t="shared" si="20"/>
        <v>28522</v>
      </c>
      <c r="AA56" s="110">
        <f t="shared" si="20"/>
        <v>28625.1</v>
      </c>
      <c r="AB56" s="110">
        <f t="shared" si="20"/>
        <v>28627.649999999998</v>
      </c>
      <c r="AC56" s="110">
        <f t="shared" si="20"/>
        <v>28617.1</v>
      </c>
      <c r="AD56" s="110">
        <f t="shared" si="20"/>
        <v>2970.315</v>
      </c>
    </row>
    <row r="57" spans="1:30" ht="15">
      <c r="A57" s="4"/>
      <c r="B57" s="4"/>
      <c r="C57" s="63" t="s">
        <v>7</v>
      </c>
      <c r="D57" s="4"/>
      <c r="E57" s="4"/>
      <c r="F57" s="14"/>
      <c r="G57" s="14"/>
      <c r="H57" s="14"/>
      <c r="I57" s="14"/>
      <c r="J57" s="14"/>
      <c r="K57" s="14"/>
      <c r="L57" s="14"/>
      <c r="M57" s="14"/>
      <c r="N57" s="14"/>
      <c r="O57"/>
      <c r="P57" s="107"/>
      <c r="Q57" s="107"/>
      <c r="R57" s="107"/>
      <c r="S57" s="107"/>
      <c r="T57" s="107"/>
      <c r="U57" s="107"/>
      <c r="V57" s="107"/>
      <c r="W57" s="107"/>
      <c r="X57" s="107"/>
      <c r="AA57" s="33"/>
      <c r="AB57" s="33"/>
      <c r="AC57" s="33"/>
      <c r="AD57" s="33"/>
    </row>
    <row r="58" spans="1:30" ht="15">
      <c r="A58" s="4"/>
      <c r="B58" s="4"/>
      <c r="C58" s="4"/>
      <c r="D58" s="4" t="s">
        <v>8</v>
      </c>
      <c r="E58" s="4"/>
      <c r="F58" s="121">
        <f aca="true" t="shared" si="21" ref="F58:O59">F14+F28+F35+F39</f>
        <v>3245.7</v>
      </c>
      <c r="G58" s="121">
        <f t="shared" si="21"/>
        <v>3301.8</v>
      </c>
      <c r="H58" s="121">
        <f t="shared" si="21"/>
        <v>3281.5</v>
      </c>
      <c r="I58" s="121">
        <f t="shared" si="21"/>
        <v>3325.3</v>
      </c>
      <c r="J58" s="121">
        <f t="shared" si="21"/>
        <v>3404.2999999999997</v>
      </c>
      <c r="K58" s="121">
        <f t="shared" si="21"/>
        <v>3693.75</v>
      </c>
      <c r="L58" s="121">
        <f t="shared" si="21"/>
        <v>3706.3999999999996</v>
      </c>
      <c r="M58" s="121">
        <f t="shared" si="21"/>
        <v>3737</v>
      </c>
      <c r="N58" s="121">
        <f t="shared" si="21"/>
        <v>3792.8999999999996</v>
      </c>
      <c r="O58" s="121">
        <f t="shared" si="21"/>
        <v>3850.42</v>
      </c>
      <c r="P58" s="50">
        <f aca="true" t="shared" si="22" ref="P58:W58">P14+P28+P35+P39</f>
        <v>3922.3100000000004</v>
      </c>
      <c r="Q58" s="50">
        <f t="shared" si="22"/>
        <v>3955.33</v>
      </c>
      <c r="R58" s="50">
        <f t="shared" si="22"/>
        <v>4004.3100000000004</v>
      </c>
      <c r="S58" s="50">
        <f t="shared" si="22"/>
        <v>4042.05</v>
      </c>
      <c r="T58" s="49">
        <f t="shared" si="22"/>
        <v>4042.05</v>
      </c>
      <c r="U58" s="49">
        <f t="shared" si="22"/>
        <v>4063.58</v>
      </c>
      <c r="V58" s="49">
        <f t="shared" si="22"/>
        <v>4211.52</v>
      </c>
      <c r="W58" s="49">
        <f t="shared" si="22"/>
        <v>4138.27</v>
      </c>
      <c r="X58" s="49">
        <f aca="true" t="shared" si="23" ref="X58:Z59">X14+X28+X35+X39</f>
        <v>4494</v>
      </c>
      <c r="Y58" s="49">
        <f t="shared" si="23"/>
        <v>4465.41</v>
      </c>
      <c r="Z58" s="49">
        <f t="shared" si="23"/>
        <v>4467</v>
      </c>
      <c r="AA58" s="49">
        <f aca="true" t="shared" si="24" ref="AA58:AC59">AA14+AA28+AA35+AA39</f>
        <v>4564.099999999999</v>
      </c>
      <c r="AB58" s="49">
        <f t="shared" si="24"/>
        <v>4578.41</v>
      </c>
      <c r="AC58" s="49">
        <f t="shared" si="24"/>
        <v>4589.7</v>
      </c>
      <c r="AD58" s="49">
        <f>AD14+AD28+AD35+AD39</f>
        <v>238.7</v>
      </c>
    </row>
    <row r="59" spans="1:30" ht="15">
      <c r="A59" s="4"/>
      <c r="B59" s="4"/>
      <c r="C59" s="4"/>
      <c r="D59" s="4" t="s">
        <v>9</v>
      </c>
      <c r="E59" s="4"/>
      <c r="F59" s="121">
        <f t="shared" si="21"/>
        <v>24720</v>
      </c>
      <c r="G59" s="121">
        <f t="shared" si="21"/>
        <v>24762.9</v>
      </c>
      <c r="H59" s="121">
        <f t="shared" si="21"/>
        <v>24744.1</v>
      </c>
      <c r="I59" s="121">
        <f t="shared" si="21"/>
        <v>24653.199999999997</v>
      </c>
      <c r="J59" s="121">
        <f t="shared" si="21"/>
        <v>24624.6</v>
      </c>
      <c r="K59" s="121">
        <f t="shared" si="21"/>
        <v>24397.8</v>
      </c>
      <c r="L59" s="121">
        <f t="shared" si="21"/>
        <v>24380.800000000003</v>
      </c>
      <c r="M59" s="121">
        <f t="shared" si="21"/>
        <v>24312.2</v>
      </c>
      <c r="N59" s="121">
        <f t="shared" si="21"/>
        <v>24224.300000000003</v>
      </c>
      <c r="O59" s="121">
        <f t="shared" si="21"/>
        <v>24152.120000000003</v>
      </c>
      <c r="P59" s="50">
        <f aca="true" t="shared" si="25" ref="P59:W59">P15+P29+P36+P40</f>
        <v>24119.25</v>
      </c>
      <c r="Q59" s="50">
        <f t="shared" si="25"/>
        <v>24139.84</v>
      </c>
      <c r="R59" s="50">
        <f t="shared" si="25"/>
        <v>24123.29</v>
      </c>
      <c r="S59" s="50">
        <f t="shared" si="25"/>
        <v>24105.28</v>
      </c>
      <c r="T59" s="49">
        <f t="shared" si="25"/>
        <v>24102.28</v>
      </c>
      <c r="U59" s="49">
        <f t="shared" si="25"/>
        <v>24142.800000000003</v>
      </c>
      <c r="V59" s="49">
        <f t="shared" si="25"/>
        <v>24062.41</v>
      </c>
      <c r="W59" s="49">
        <f t="shared" si="25"/>
        <v>24073.04</v>
      </c>
      <c r="X59" s="49">
        <f t="shared" si="23"/>
        <v>24019</v>
      </c>
      <c r="Y59" s="49">
        <f t="shared" si="23"/>
        <v>24080.809999999998</v>
      </c>
      <c r="Z59" s="49">
        <f t="shared" si="23"/>
        <v>24054</v>
      </c>
      <c r="AA59" s="49">
        <f t="shared" si="24"/>
        <v>24060</v>
      </c>
      <c r="AB59" s="49">
        <f t="shared" si="24"/>
        <v>24048.839999999997</v>
      </c>
      <c r="AC59" s="49">
        <f t="shared" si="24"/>
        <v>24026.9</v>
      </c>
      <c r="AD59" s="49">
        <f>AD15+AD29+AD36+AD40</f>
        <v>3331.2</v>
      </c>
    </row>
    <row r="60" spans="1:30" ht="15">
      <c r="A60" s="4"/>
      <c r="B60" s="4" t="s">
        <v>15</v>
      </c>
      <c r="C60" s="4"/>
      <c r="D60" s="4"/>
      <c r="E60" s="4"/>
      <c r="F60" s="14"/>
      <c r="G60" s="14"/>
      <c r="H60" s="14"/>
      <c r="I60" s="14"/>
      <c r="J60" s="14"/>
      <c r="K60" s="14"/>
      <c r="L60" s="14"/>
      <c r="M60" s="14"/>
      <c r="N60" s="14"/>
      <c r="O60"/>
      <c r="P60" s="50"/>
      <c r="Q60" s="50"/>
      <c r="R60" s="31"/>
      <c r="T60" s="33"/>
      <c r="U60" s="33"/>
      <c r="V60" s="33"/>
      <c r="W60" s="33"/>
      <c r="AA60" s="33"/>
      <c r="AB60" s="33"/>
      <c r="AC60" s="33"/>
      <c r="AD60" s="33"/>
    </row>
    <row r="61" spans="1:30" ht="15">
      <c r="A61" s="4"/>
      <c r="B61" s="4"/>
      <c r="C61" s="62" t="s">
        <v>11</v>
      </c>
      <c r="D61" s="4"/>
      <c r="E61" s="4"/>
      <c r="F61" s="14">
        <v>11432.2</v>
      </c>
      <c r="G61" s="14">
        <v>11542</v>
      </c>
      <c r="H61" s="14">
        <v>11623.3</v>
      </c>
      <c r="I61" s="14">
        <v>11723.2</v>
      </c>
      <c r="J61" s="14">
        <v>12232</v>
      </c>
      <c r="K61" s="14">
        <v>12597.51</v>
      </c>
      <c r="L61" s="14">
        <v>12693</v>
      </c>
      <c r="M61" s="121">
        <f aca="true" t="shared" si="26" ref="M61:O63">M43</f>
        <v>13124</v>
      </c>
      <c r="N61" s="121">
        <f t="shared" si="26"/>
        <v>13318.6</v>
      </c>
      <c r="O61" s="121">
        <f t="shared" si="26"/>
        <v>13477.68</v>
      </c>
      <c r="P61" s="50">
        <f aca="true" t="shared" si="27" ref="P61:X61">P43</f>
        <v>13584.53</v>
      </c>
      <c r="Q61" s="50">
        <f t="shared" si="27"/>
        <v>13714.27</v>
      </c>
      <c r="R61" s="50">
        <f t="shared" si="27"/>
        <v>14224.65</v>
      </c>
      <c r="S61" s="50">
        <f t="shared" si="27"/>
        <v>14175.720000000001</v>
      </c>
      <c r="T61" s="49">
        <f t="shared" si="27"/>
        <v>14210.12</v>
      </c>
      <c r="U61" s="49">
        <f t="shared" si="27"/>
        <v>14399.24</v>
      </c>
      <c r="V61" s="49">
        <f t="shared" si="27"/>
        <v>14465.12</v>
      </c>
      <c r="W61" s="49">
        <f t="shared" si="27"/>
        <v>14767.61</v>
      </c>
      <c r="X61" s="49">
        <f t="shared" si="27"/>
        <v>14572.6</v>
      </c>
      <c r="Y61" s="49">
        <f aca="true" t="shared" si="28" ref="Y61:Z63">Y43</f>
        <v>14714.41</v>
      </c>
      <c r="Z61" s="49">
        <f t="shared" si="28"/>
        <v>14827.6</v>
      </c>
      <c r="AA61" s="49">
        <f aca="true" t="shared" si="29" ref="AA61:AB63">AA43</f>
        <v>14856.046000000004</v>
      </c>
      <c r="AB61" s="49">
        <f t="shared" si="29"/>
        <v>14947.670000000004</v>
      </c>
      <c r="AC61" s="49">
        <f aca="true" t="shared" si="30" ref="AC61:AD63">AC43</f>
        <v>15020.2</v>
      </c>
      <c r="AD61" s="49">
        <f t="shared" si="30"/>
        <v>0</v>
      </c>
    </row>
    <row r="62" spans="1:30" ht="15">
      <c r="A62" s="4"/>
      <c r="B62" s="4"/>
      <c r="C62" s="62" t="s">
        <v>12</v>
      </c>
      <c r="D62" s="4"/>
      <c r="E62" s="4"/>
      <c r="F62" s="14">
        <v>11944.4</v>
      </c>
      <c r="G62" s="14">
        <v>11974</v>
      </c>
      <c r="H62" s="14">
        <v>12027.6</v>
      </c>
      <c r="I62" s="14">
        <v>12037</v>
      </c>
      <c r="J62" s="14">
        <v>11660</v>
      </c>
      <c r="K62" s="14">
        <v>11672.2</v>
      </c>
      <c r="L62" s="14">
        <v>11837.2</v>
      </c>
      <c r="M62" s="121">
        <f t="shared" si="26"/>
        <v>11491.2</v>
      </c>
      <c r="N62" s="121">
        <f t="shared" si="26"/>
        <v>11454.5</v>
      </c>
      <c r="O62" s="121">
        <f t="shared" si="26"/>
        <v>11497.32</v>
      </c>
      <c r="P62" s="50">
        <f aca="true" t="shared" si="31" ref="P62:W62">P44</f>
        <v>11720.6</v>
      </c>
      <c r="Q62" s="50">
        <f t="shared" si="31"/>
        <v>11726.85</v>
      </c>
      <c r="R62" s="50">
        <f t="shared" si="31"/>
        <v>11719.5</v>
      </c>
      <c r="S62" s="50">
        <f t="shared" si="31"/>
        <v>11717.24</v>
      </c>
      <c r="T62" s="49">
        <f t="shared" si="31"/>
        <v>11717.04</v>
      </c>
      <c r="U62" s="49">
        <f t="shared" si="31"/>
        <v>11715.939999999999</v>
      </c>
      <c r="V62" s="49">
        <f t="shared" si="31"/>
        <v>11683.34</v>
      </c>
      <c r="W62" s="49">
        <f t="shared" si="31"/>
        <v>11660.97</v>
      </c>
      <c r="X62" s="49">
        <f>X44</f>
        <v>11712</v>
      </c>
      <c r="Y62" s="49">
        <f t="shared" si="28"/>
        <v>11725.64</v>
      </c>
      <c r="Z62" s="49">
        <f t="shared" si="28"/>
        <v>11732</v>
      </c>
      <c r="AA62" s="49">
        <f t="shared" si="29"/>
        <v>11727.229000000001</v>
      </c>
      <c r="AB62" s="49">
        <f t="shared" si="29"/>
        <v>11732.270000000002</v>
      </c>
      <c r="AC62" s="49">
        <f t="shared" si="30"/>
        <v>11727.7</v>
      </c>
      <c r="AD62" s="49">
        <f t="shared" si="30"/>
        <v>0</v>
      </c>
    </row>
    <row r="63" spans="1:30" s="111" customFormat="1" ht="15.75">
      <c r="A63" s="61"/>
      <c r="B63" s="61"/>
      <c r="C63" s="61" t="s">
        <v>6</v>
      </c>
      <c r="D63" s="61"/>
      <c r="E63" s="61"/>
      <c r="F63" s="14">
        <v>23377.2</v>
      </c>
      <c r="G63" s="14">
        <v>23516</v>
      </c>
      <c r="H63" s="14">
        <v>23650.9</v>
      </c>
      <c r="I63" s="14">
        <v>23760.2</v>
      </c>
      <c r="J63" s="14">
        <v>23892</v>
      </c>
      <c r="K63" s="14">
        <v>24269.71</v>
      </c>
      <c r="L63" s="14">
        <v>24530.2</v>
      </c>
      <c r="M63" s="121">
        <f t="shared" si="26"/>
        <v>24617.6</v>
      </c>
      <c r="N63" s="121">
        <f t="shared" si="26"/>
        <v>24775.5</v>
      </c>
      <c r="O63" s="121">
        <f t="shared" si="26"/>
        <v>24975</v>
      </c>
      <c r="P63" s="109">
        <f aca="true" t="shared" si="32" ref="P63:W63">P45</f>
        <v>25305.13</v>
      </c>
      <c r="Q63" s="109">
        <f t="shared" si="32"/>
        <v>25441.120000000003</v>
      </c>
      <c r="R63" s="109">
        <f t="shared" si="32"/>
        <v>25944.15</v>
      </c>
      <c r="S63" s="109">
        <f t="shared" si="32"/>
        <v>25892.96</v>
      </c>
      <c r="T63" s="110">
        <f t="shared" si="32"/>
        <v>25927.160000000003</v>
      </c>
      <c r="U63" s="110">
        <f t="shared" si="32"/>
        <v>26115.18</v>
      </c>
      <c r="V63" s="110">
        <f t="shared" si="32"/>
        <v>26148.46</v>
      </c>
      <c r="W63" s="110">
        <f t="shared" si="32"/>
        <v>26428.58</v>
      </c>
      <c r="X63" s="110">
        <f>X45</f>
        <v>26284.6</v>
      </c>
      <c r="Y63" s="110">
        <f t="shared" si="28"/>
        <v>26440.05</v>
      </c>
      <c r="Z63" s="110">
        <f t="shared" si="28"/>
        <v>26559.6</v>
      </c>
      <c r="AA63" s="110">
        <f t="shared" si="29"/>
        <v>26583.275000000005</v>
      </c>
      <c r="AB63" s="110">
        <f t="shared" si="29"/>
        <v>26679.940000000006</v>
      </c>
      <c r="AC63" s="110">
        <f t="shared" si="30"/>
        <v>26747.9</v>
      </c>
      <c r="AD63" s="110">
        <f t="shared" si="30"/>
        <v>0</v>
      </c>
    </row>
    <row r="64" spans="1:23" ht="6" customHeight="1">
      <c r="A64" s="4"/>
      <c r="B64" s="4"/>
      <c r="C64" s="4"/>
      <c r="D64" s="4"/>
      <c r="E64" s="4"/>
      <c r="F64" s="14"/>
      <c r="G64" s="14"/>
      <c r="H64" s="14"/>
      <c r="I64" s="14"/>
      <c r="J64" s="14"/>
      <c r="K64" s="14"/>
      <c r="L64" s="14"/>
      <c r="M64" s="14"/>
      <c r="N64" s="14"/>
      <c r="O64"/>
      <c r="P64" s="50"/>
      <c r="Q64" s="50"/>
      <c r="R64" s="31"/>
      <c r="T64" s="33"/>
      <c r="U64" s="33"/>
      <c r="V64" s="33"/>
      <c r="W64" s="33"/>
    </row>
    <row r="65" spans="1:30" ht="19.5" thickBot="1">
      <c r="A65" s="70"/>
      <c r="B65" s="112" t="s">
        <v>162</v>
      </c>
      <c r="C65" s="98"/>
      <c r="D65" s="98"/>
      <c r="E65" s="98"/>
      <c r="F65" s="122">
        <v>51702.2</v>
      </c>
      <c r="G65" s="122">
        <v>51923.2</v>
      </c>
      <c r="H65" s="122">
        <v>52049.1</v>
      </c>
      <c r="I65" s="122">
        <v>52134.7</v>
      </c>
      <c r="J65" s="122">
        <v>52345.65</v>
      </c>
      <c r="K65" s="122">
        <v>52801.76</v>
      </c>
      <c r="L65" s="122">
        <v>53077.8</v>
      </c>
      <c r="M65" s="122">
        <v>53149.3</v>
      </c>
      <c r="N65" s="122">
        <v>53324.6</v>
      </c>
      <c r="O65" s="122">
        <f>O63+O56+O52</f>
        <v>53520.54</v>
      </c>
      <c r="P65" s="113">
        <f aca="true" t="shared" si="33" ref="P65:X65">P63+P56+P52</f>
        <v>53883.490000000005</v>
      </c>
      <c r="Q65" s="113">
        <f t="shared" si="33"/>
        <v>54055.270000000004</v>
      </c>
      <c r="R65" s="113">
        <f t="shared" si="33"/>
        <v>54589.47</v>
      </c>
      <c r="S65" s="113">
        <f t="shared" si="33"/>
        <v>54559.28999999999</v>
      </c>
      <c r="T65" s="114">
        <f t="shared" si="33"/>
        <v>54590.490000000005</v>
      </c>
      <c r="U65" s="114">
        <f t="shared" si="33"/>
        <v>54846.56</v>
      </c>
      <c r="V65" s="114">
        <f t="shared" si="33"/>
        <v>54968.39</v>
      </c>
      <c r="W65" s="114">
        <f t="shared" si="33"/>
        <v>55185.89</v>
      </c>
      <c r="X65" s="114">
        <f t="shared" si="33"/>
        <v>55343.6</v>
      </c>
      <c r="Y65" s="114">
        <f aca="true" t="shared" si="34" ref="Y65:AD65">Y17+Y31+Y47</f>
        <v>55532.27</v>
      </c>
      <c r="Z65" s="114">
        <f t="shared" si="34"/>
        <v>55625.6</v>
      </c>
      <c r="AA65" s="114">
        <f t="shared" si="34"/>
        <v>55765.37500000001</v>
      </c>
      <c r="AB65" s="114">
        <f t="shared" si="34"/>
        <v>55906.490000000005</v>
      </c>
      <c r="AC65" s="114">
        <f t="shared" si="34"/>
        <v>55960.600000000006</v>
      </c>
      <c r="AD65" s="114">
        <f t="shared" si="34"/>
        <v>3569.918</v>
      </c>
    </row>
    <row r="66" spans="16:26" ht="8.25" customHeight="1">
      <c r="P66" s="54" t="str">
        <f>IF(ABS(P65-(P52+P56+P63))&gt;comments!$A$1,P65-(P52+P56+P63)," ")</f>
        <v> </v>
      </c>
      <c r="Q66" s="54" t="str">
        <f>IF(ABS(Q65-(Q52+Q56+Q63))&gt;comments!$A$1,Q65-(Q52+Q56+Q63)," ")</f>
        <v> </v>
      </c>
      <c r="R66" s="54" t="str">
        <f>IF(ABS(R65-(R52+R56+R63))&gt;comments!$A$1,R65-(R52+R56+R63)," ")</f>
        <v> </v>
      </c>
      <c r="S66" s="54" t="str">
        <f>IF(ABS(S65-(S52+S56+S63))&gt;comments!$A$1,S65-(S52+S56+S63)," ")</f>
        <v> </v>
      </c>
      <c r="T66" s="54" t="str">
        <f>IF(ABS(T65-(T52+T56+T63))&gt;comments!$A$1,T65-(T52+T56+T63)," ")</f>
        <v> </v>
      </c>
      <c r="U66" s="54" t="str">
        <f>IF(ABS(U65-(U52+U56+U63))&gt;comments!$A$1,U65-(U52+U56+U63)," ")</f>
        <v> </v>
      </c>
      <c r="V66" s="54" t="str">
        <f>IF(ABS(V65-(V52+V56+V63))&gt;comments!$A$1,V65-(V52+V56+V63)," ")</f>
        <v> </v>
      </c>
      <c r="W66" s="54" t="str">
        <f>IF(ABS(W65-(W52+W56+W63))&gt;comments!$A$1,W65-(W52+W56+W63)," ")</f>
        <v> </v>
      </c>
      <c r="X66" s="54" t="str">
        <f>IF(ABS(X65-(X52+X56+X63))&gt;comments!$A$1,X65-(X52+X56+X63)," ")</f>
        <v> </v>
      </c>
      <c r="Y66" s="54" t="str">
        <f>IF(ABS(Y65-(Y52+Y56+Y63))&gt;comments!$A$1,Y65-(Y52+Y56+Y63)," ")</f>
        <v> </v>
      </c>
      <c r="Z66" s="54" t="str">
        <f>IF(ABS(Z65-(Z52+Z56+Z63))&gt;comments!$A$1,Z65-(Z52+Z56+Z63)," ")</f>
        <v> </v>
      </c>
    </row>
    <row r="67" spans="1:26" ht="16.5" customHeight="1">
      <c r="A67" s="1" t="s">
        <v>125</v>
      </c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ht="12.75">
      <c r="B68" s="1" t="s">
        <v>144</v>
      </c>
    </row>
    <row r="69" ht="12.75">
      <c r="B69" s="1" t="s">
        <v>128</v>
      </c>
    </row>
    <row r="70" ht="12" customHeight="1">
      <c r="B70" s="131" t="s">
        <v>159</v>
      </c>
    </row>
    <row r="71" ht="10.5" customHeight="1">
      <c r="B71" s="132" t="s">
        <v>158</v>
      </c>
    </row>
    <row r="72" ht="12" customHeight="1">
      <c r="B72" s="132" t="s">
        <v>157</v>
      </c>
    </row>
    <row r="73" ht="12.75">
      <c r="B73" s="1" t="s">
        <v>127</v>
      </c>
    </row>
    <row r="74" ht="12.75">
      <c r="B74" s="1" t="s">
        <v>149</v>
      </c>
    </row>
    <row r="75" ht="12.75">
      <c r="B75" s="133" t="s">
        <v>173</v>
      </c>
    </row>
    <row r="76" ht="12.75">
      <c r="B76" s="133" t="s">
        <v>177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59" r:id="rId1"/>
  <headerFooter alignWithMargins="0">
    <oddHeader>&amp;R&amp;"Arial,Bold"&amp;17ROAD NETWORK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33" customWidth="1"/>
    <col min="2" max="2" width="2.28125" style="133" customWidth="1"/>
    <col min="3" max="3" width="2.00390625" style="133" customWidth="1"/>
    <col min="4" max="4" width="7.57421875" style="133" customWidth="1"/>
    <col min="5" max="5" width="21.421875" style="133" customWidth="1"/>
    <col min="6" max="19" width="9.7109375" style="133" hidden="1" customWidth="1"/>
    <col min="20" max="20" width="10.28125" style="133" hidden="1" customWidth="1"/>
    <col min="21" max="21" width="9.7109375" style="133" hidden="1" customWidth="1"/>
    <col min="22" max="22" width="11.00390625" style="133" hidden="1" customWidth="1"/>
    <col min="23" max="23" width="10.8515625" style="133" hidden="1" customWidth="1"/>
    <col min="24" max="24" width="10.8515625" style="194" hidden="1" customWidth="1"/>
    <col min="25" max="25" width="10.8515625" style="194" customWidth="1"/>
    <col min="26" max="26" width="10.421875" style="194" customWidth="1"/>
    <col min="27" max="27" width="10.140625" style="133" bestFit="1" customWidth="1"/>
    <col min="28" max="28" width="9.140625" style="133" customWidth="1"/>
    <col min="29" max="29" width="9.7109375" style="133" customWidth="1"/>
    <col min="30" max="36" width="9.140625" style="133" customWidth="1"/>
    <col min="37" max="37" width="9.28125" style="133" bestFit="1" customWidth="1"/>
    <col min="38" max="16384" width="9.140625" style="133" customWidth="1"/>
  </cols>
  <sheetData>
    <row r="1" spans="1:26" s="4" customFormat="1" ht="18.75">
      <c r="A1" s="69" t="s">
        <v>140</v>
      </c>
      <c r="B1" s="22"/>
      <c r="C1" s="22"/>
      <c r="D1" s="22"/>
      <c r="E1" s="68" t="s">
        <v>174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22"/>
      <c r="Q1" s="22"/>
      <c r="R1" s="22"/>
      <c r="S1" s="22"/>
      <c r="T1" s="22"/>
      <c r="X1" s="16"/>
      <c r="Y1" s="16"/>
      <c r="Z1" s="16"/>
    </row>
    <row r="2" spans="1:35" ht="21" customHeight="1">
      <c r="A2" s="65"/>
      <c r="B2" s="65"/>
      <c r="C2" s="65"/>
      <c r="D2" s="65"/>
      <c r="E2" s="65"/>
      <c r="F2" s="66">
        <v>1990</v>
      </c>
      <c r="G2" s="66">
        <v>1991</v>
      </c>
      <c r="H2" s="66">
        <v>1992</v>
      </c>
      <c r="I2" s="66">
        <v>1993</v>
      </c>
      <c r="J2" s="66">
        <v>1994</v>
      </c>
      <c r="K2" s="66">
        <v>1995</v>
      </c>
      <c r="L2" s="66">
        <v>1996</v>
      </c>
      <c r="M2" s="66">
        <v>1997</v>
      </c>
      <c r="N2" s="66">
        <v>1998</v>
      </c>
      <c r="O2" s="66">
        <v>1999</v>
      </c>
      <c r="P2" s="66">
        <v>2000</v>
      </c>
      <c r="Q2" s="66">
        <v>2001</v>
      </c>
      <c r="R2" s="67">
        <v>2002</v>
      </c>
      <c r="S2" s="67">
        <v>2003</v>
      </c>
      <c r="T2" s="67">
        <v>2004</v>
      </c>
      <c r="U2" s="67">
        <v>2005</v>
      </c>
      <c r="V2" s="67">
        <v>2006</v>
      </c>
      <c r="W2" s="67">
        <v>2007</v>
      </c>
      <c r="X2" s="67">
        <v>2008</v>
      </c>
      <c r="Y2" s="67">
        <v>2009</v>
      </c>
      <c r="Z2" s="67">
        <v>2010</v>
      </c>
      <c r="AA2" s="67">
        <v>2011</v>
      </c>
      <c r="AB2" s="67">
        <v>2012</v>
      </c>
      <c r="AC2" s="67">
        <v>2013</v>
      </c>
      <c r="AD2" s="67">
        <v>2014</v>
      </c>
      <c r="AE2" s="67">
        <v>2015</v>
      </c>
      <c r="AF2" s="67">
        <v>2016</v>
      </c>
      <c r="AG2" s="67">
        <v>2017</v>
      </c>
      <c r="AH2" s="67">
        <v>2018</v>
      </c>
      <c r="AI2" s="67">
        <v>2019</v>
      </c>
    </row>
    <row r="3" spans="19:28" ht="12.75">
      <c r="S3" s="3"/>
      <c r="T3" s="40"/>
      <c r="U3" s="40"/>
      <c r="V3" s="194"/>
      <c r="W3" s="40"/>
      <c r="X3" s="40"/>
      <c r="Y3" s="40"/>
      <c r="Z3" s="40"/>
      <c r="AA3" s="40"/>
      <c r="AB3" s="40"/>
    </row>
    <row r="4" spans="1:26" ht="18.75">
      <c r="A4" s="61" t="s">
        <v>167</v>
      </c>
      <c r="B4" s="4"/>
      <c r="C4" s="4"/>
      <c r="D4" s="4"/>
      <c r="E4" s="4"/>
      <c r="Q4" s="133" t="s">
        <v>116</v>
      </c>
      <c r="T4" s="194"/>
      <c r="U4" s="194"/>
      <c r="V4" s="194"/>
      <c r="X4" s="133"/>
      <c r="Y4" s="133"/>
      <c r="Z4" s="133"/>
    </row>
    <row r="5" spans="1:35" ht="15">
      <c r="A5" s="4"/>
      <c r="B5" s="4" t="s">
        <v>0</v>
      </c>
      <c r="C5" s="4"/>
      <c r="D5" s="4"/>
      <c r="E5" s="4"/>
      <c r="T5" s="194"/>
      <c r="U5" s="194"/>
      <c r="V5" s="194"/>
      <c r="X5" s="133"/>
      <c r="Y5" s="133"/>
      <c r="Z5" s="133"/>
      <c r="AI5" s="138" t="s">
        <v>172</v>
      </c>
    </row>
    <row r="6" spans="1:36" ht="15">
      <c r="A6" s="4"/>
      <c r="B6" s="4"/>
      <c r="C6" s="4" t="s">
        <v>1</v>
      </c>
      <c r="D6" s="4"/>
      <c r="E6" s="4"/>
      <c r="F6" s="14">
        <v>234.4</v>
      </c>
      <c r="G6" s="14">
        <v>233.3</v>
      </c>
      <c r="H6" s="14">
        <v>244.4</v>
      </c>
      <c r="I6" s="14">
        <v>254.1</v>
      </c>
      <c r="J6" s="14">
        <v>273.6</v>
      </c>
      <c r="K6" s="14">
        <v>283.4</v>
      </c>
      <c r="L6" s="116">
        <v>310.9</v>
      </c>
      <c r="M6" s="14">
        <v>328.9</v>
      </c>
      <c r="N6" s="14">
        <v>369.1</v>
      </c>
      <c r="O6" s="123">
        <v>371</v>
      </c>
      <c r="P6" s="31">
        <v>378</v>
      </c>
      <c r="Q6" s="31">
        <v>371</v>
      </c>
      <c r="R6" s="31">
        <v>371</v>
      </c>
      <c r="S6" s="31">
        <v>371</v>
      </c>
      <c r="T6" s="31">
        <v>371</v>
      </c>
      <c r="U6" s="31">
        <v>377</v>
      </c>
      <c r="V6" s="31">
        <v>392</v>
      </c>
      <c r="W6" s="31">
        <v>392</v>
      </c>
      <c r="X6" s="31">
        <v>392</v>
      </c>
      <c r="Y6" s="31">
        <v>390</v>
      </c>
      <c r="Z6" s="31">
        <v>389</v>
      </c>
      <c r="AA6" s="35">
        <v>396.269</v>
      </c>
      <c r="AB6" s="35">
        <v>419.76</v>
      </c>
      <c r="AC6" s="35">
        <v>420.341</v>
      </c>
      <c r="AD6" s="31">
        <v>419.822</v>
      </c>
      <c r="AE6" s="31">
        <v>419.822</v>
      </c>
      <c r="AF6" s="31">
        <v>439.937</v>
      </c>
      <c r="AG6" s="31">
        <v>448.68</v>
      </c>
      <c r="AH6" s="31">
        <v>449.368</v>
      </c>
      <c r="AI6" s="31">
        <v>444.943</v>
      </c>
      <c r="AJ6" s="221"/>
    </row>
    <row r="7" spans="1:35" ht="15">
      <c r="A7" s="4"/>
      <c r="B7" s="4"/>
      <c r="C7" s="4" t="s">
        <v>2</v>
      </c>
      <c r="D7" s="4"/>
      <c r="E7" s="4"/>
      <c r="F7" s="14">
        <v>312.1</v>
      </c>
      <c r="G7" s="14">
        <v>315.3</v>
      </c>
      <c r="H7" s="14">
        <v>325.5</v>
      </c>
      <c r="I7" s="14">
        <v>338.7</v>
      </c>
      <c r="J7" s="14">
        <v>367.5</v>
      </c>
      <c r="K7" s="14">
        <v>387.5</v>
      </c>
      <c r="L7" s="116">
        <v>460.4</v>
      </c>
      <c r="M7" s="14">
        <f>328.9+153.7</f>
        <v>482.59999999999997</v>
      </c>
      <c r="N7" s="14">
        <v>532.1</v>
      </c>
      <c r="O7" s="123">
        <v>543</v>
      </c>
      <c r="P7" s="31">
        <v>536.8</v>
      </c>
      <c r="Q7" s="31">
        <v>519</v>
      </c>
      <c r="R7" s="31">
        <v>519</v>
      </c>
      <c r="S7" s="31">
        <v>519</v>
      </c>
      <c r="T7" s="31">
        <v>519</v>
      </c>
      <c r="U7" s="31">
        <v>525</v>
      </c>
      <c r="V7" s="31">
        <v>546</v>
      </c>
      <c r="W7" s="31">
        <v>547</v>
      </c>
      <c r="X7" s="31">
        <v>547</v>
      </c>
      <c r="Y7" s="31">
        <v>546</v>
      </c>
      <c r="Z7" s="31">
        <v>544</v>
      </c>
      <c r="AA7" s="35">
        <v>558.289</v>
      </c>
      <c r="AB7" s="35">
        <v>598.625</v>
      </c>
      <c r="AC7" s="35">
        <v>598.97</v>
      </c>
      <c r="AD7" s="31">
        <v>599.603</v>
      </c>
      <c r="AE7" s="31">
        <v>601.124</v>
      </c>
      <c r="AF7" s="31">
        <v>632.489</v>
      </c>
      <c r="AG7" s="31">
        <v>645.178</v>
      </c>
      <c r="AH7" s="31">
        <v>645.094</v>
      </c>
      <c r="AI7" s="31">
        <v>650.6959999999999</v>
      </c>
    </row>
    <row r="8" spans="1:35" ht="13.5" customHeight="1">
      <c r="A8" s="4"/>
      <c r="B8" s="4" t="s">
        <v>3</v>
      </c>
      <c r="C8" s="4"/>
      <c r="D8" s="4"/>
      <c r="E8" s="4"/>
      <c r="F8" s="14"/>
      <c r="G8" s="14"/>
      <c r="H8" s="14"/>
      <c r="I8" s="14"/>
      <c r="J8" s="14"/>
      <c r="K8" s="14"/>
      <c r="L8" s="116"/>
      <c r="M8" s="14"/>
      <c r="N8" s="14"/>
      <c r="O8" s="14"/>
      <c r="P8" s="31"/>
      <c r="AA8" s="35"/>
      <c r="AB8" s="35"/>
      <c r="AC8" s="35"/>
      <c r="AG8" s="194"/>
      <c r="AH8" s="194"/>
      <c r="AI8" s="194"/>
    </row>
    <row r="9" spans="1:35" ht="15">
      <c r="A9" s="4"/>
      <c r="B9" s="4"/>
      <c r="C9" s="4" t="s">
        <v>4</v>
      </c>
      <c r="D9" s="4"/>
      <c r="E9" s="4"/>
      <c r="F9" s="14">
        <v>476.7</v>
      </c>
      <c r="G9" s="14">
        <v>500</v>
      </c>
      <c r="H9" s="14">
        <v>488.8</v>
      </c>
      <c r="I9" s="14">
        <v>484.4</v>
      </c>
      <c r="J9" s="14">
        <v>475.9</v>
      </c>
      <c r="K9" s="14">
        <v>457.6</v>
      </c>
      <c r="L9" s="116">
        <v>575.8</v>
      </c>
      <c r="M9" s="14">
        <f>26.8+472.5+28.4</f>
        <v>527.7</v>
      </c>
      <c r="N9" s="14">
        <v>475.3</v>
      </c>
      <c r="O9" s="14">
        <v>463.7</v>
      </c>
      <c r="P9" s="31">
        <v>481</v>
      </c>
      <c r="Q9" s="31">
        <v>504</v>
      </c>
      <c r="R9" s="31">
        <v>504</v>
      </c>
      <c r="S9" s="31">
        <v>503</v>
      </c>
      <c r="T9" s="31">
        <v>505</v>
      </c>
      <c r="U9" s="31">
        <v>524</v>
      </c>
      <c r="V9" s="31">
        <v>531</v>
      </c>
      <c r="W9" s="31">
        <v>521</v>
      </c>
      <c r="X9" s="31">
        <v>521</v>
      </c>
      <c r="Y9" s="31">
        <v>523</v>
      </c>
      <c r="Z9" s="31">
        <v>523</v>
      </c>
      <c r="AA9" s="35">
        <v>510.57</v>
      </c>
      <c r="AB9" s="35">
        <v>500.301</v>
      </c>
      <c r="AC9" s="35">
        <v>500.246</v>
      </c>
      <c r="AD9" s="35">
        <v>503.833</v>
      </c>
      <c r="AE9" s="35">
        <v>503.833</v>
      </c>
      <c r="AF9" s="35">
        <v>504.955</v>
      </c>
      <c r="AG9" s="35">
        <v>510.455</v>
      </c>
      <c r="AH9" s="35">
        <v>553.528</v>
      </c>
      <c r="AI9" s="35">
        <v>553.477</v>
      </c>
    </row>
    <row r="10" spans="1:35" ht="15">
      <c r="A10" s="4"/>
      <c r="B10" s="4"/>
      <c r="C10" s="62" t="s">
        <v>5</v>
      </c>
      <c r="D10" s="4"/>
      <c r="E10" s="4"/>
      <c r="F10" s="14">
        <v>2433.9</v>
      </c>
      <c r="G10" s="14">
        <v>2413.5</v>
      </c>
      <c r="H10" s="14">
        <v>2382.8</v>
      </c>
      <c r="I10" s="14">
        <v>2384.2</v>
      </c>
      <c r="J10" s="14">
        <v>2383.9</v>
      </c>
      <c r="K10" s="14">
        <v>2393.3</v>
      </c>
      <c r="L10" s="116">
        <v>2432</v>
      </c>
      <c r="M10" s="14">
        <f>184.6+2237</f>
        <v>2421.6</v>
      </c>
      <c r="N10" s="14">
        <v>2460.3</v>
      </c>
      <c r="O10" s="14">
        <v>2472.7</v>
      </c>
      <c r="P10" s="31">
        <v>2470.2</v>
      </c>
      <c r="Q10" s="31">
        <v>2373</v>
      </c>
      <c r="R10" s="31">
        <v>2366</v>
      </c>
      <c r="S10" s="31">
        <v>2363</v>
      </c>
      <c r="T10" s="31">
        <v>2357</v>
      </c>
      <c r="U10" s="31">
        <v>2351</v>
      </c>
      <c r="V10" s="31">
        <v>2330</v>
      </c>
      <c r="W10" s="31">
        <v>2323</v>
      </c>
      <c r="X10" s="31">
        <v>2323</v>
      </c>
      <c r="Y10" s="31">
        <v>2332</v>
      </c>
      <c r="Z10" s="31">
        <v>2327</v>
      </c>
      <c r="AA10" s="35">
        <v>2282.32</v>
      </c>
      <c r="AB10" s="35">
        <v>2279.07</v>
      </c>
      <c r="AC10" s="35">
        <v>2274.43</v>
      </c>
      <c r="AD10" s="35">
        <v>2325.97</v>
      </c>
      <c r="AE10" s="35">
        <v>2325.97</v>
      </c>
      <c r="AF10" s="35">
        <v>2326.96</v>
      </c>
      <c r="AG10" s="35">
        <v>2320.05</v>
      </c>
      <c r="AH10" s="35">
        <v>2309.96</v>
      </c>
      <c r="AI10" s="35">
        <v>2306.52</v>
      </c>
    </row>
    <row r="11" spans="1:35" ht="15">
      <c r="A11" s="4"/>
      <c r="B11" s="4"/>
      <c r="C11" s="4" t="s">
        <v>156</v>
      </c>
      <c r="D11" s="4"/>
      <c r="E11" s="4"/>
      <c r="F11" s="14"/>
      <c r="G11" s="14"/>
      <c r="H11" s="14"/>
      <c r="I11" s="14"/>
      <c r="J11" s="14"/>
      <c r="K11" s="14"/>
      <c r="L11" s="116"/>
      <c r="M11" s="14"/>
      <c r="N11" s="14"/>
      <c r="O11" s="14"/>
      <c r="P11" s="31"/>
      <c r="Q11" s="129">
        <v>97</v>
      </c>
      <c r="R11" s="31">
        <v>100</v>
      </c>
      <c r="S11" s="31">
        <v>100</v>
      </c>
      <c r="T11" s="31">
        <v>101</v>
      </c>
      <c r="U11" s="31">
        <v>105</v>
      </c>
      <c r="V11" s="31">
        <v>111</v>
      </c>
      <c r="W11" s="31">
        <v>114</v>
      </c>
      <c r="X11" s="31">
        <v>114</v>
      </c>
      <c r="Y11" s="31">
        <v>119</v>
      </c>
      <c r="Z11" s="31">
        <v>123</v>
      </c>
      <c r="AA11" s="35">
        <v>185.213</v>
      </c>
      <c r="AB11" s="35">
        <v>188.415</v>
      </c>
      <c r="AC11" s="35">
        <v>191.151</v>
      </c>
      <c r="AD11" s="35">
        <v>207.534</v>
      </c>
      <c r="AE11" s="35">
        <v>207.534</v>
      </c>
      <c r="AF11" s="35">
        <v>204.47</v>
      </c>
      <c r="AG11" s="35">
        <v>205.179</v>
      </c>
      <c r="AH11" s="35">
        <v>226.48</v>
      </c>
      <c r="AI11" s="35">
        <v>228.46300000000002</v>
      </c>
    </row>
    <row r="12" spans="1:35" s="111" customFormat="1" ht="15.75">
      <c r="A12" s="61"/>
      <c r="B12" s="61"/>
      <c r="C12" s="63" t="s">
        <v>6</v>
      </c>
      <c r="D12" s="4"/>
      <c r="E12" s="4"/>
      <c r="F12" s="14">
        <v>2910.6</v>
      </c>
      <c r="G12" s="14">
        <v>2913.5</v>
      </c>
      <c r="H12" s="14">
        <v>2871.6</v>
      </c>
      <c r="I12" s="14">
        <v>2868.6</v>
      </c>
      <c r="J12" s="14">
        <v>2859.8</v>
      </c>
      <c r="K12" s="14">
        <v>2850.9</v>
      </c>
      <c r="L12" s="116">
        <v>3007.8</v>
      </c>
      <c r="M12" s="14">
        <f>SUM(M9:M10)</f>
        <v>2949.3</v>
      </c>
      <c r="N12" s="14">
        <f>SUM(N9:N10)</f>
        <v>2935.6000000000004</v>
      </c>
      <c r="O12" s="14">
        <f>SUM(O9:O10)</f>
        <v>2936.3999999999996</v>
      </c>
      <c r="P12" s="31">
        <f>SUM(P9:P10)</f>
        <v>2951.2</v>
      </c>
      <c r="Q12" s="31">
        <v>2973</v>
      </c>
      <c r="R12" s="31">
        <v>2969</v>
      </c>
      <c r="S12" s="31">
        <v>2966</v>
      </c>
      <c r="T12" s="31">
        <v>2963</v>
      </c>
      <c r="U12" s="31">
        <v>2980</v>
      </c>
      <c r="V12" s="31">
        <v>2972</v>
      </c>
      <c r="W12" s="31">
        <v>2958</v>
      </c>
      <c r="X12" s="31">
        <v>2958</v>
      </c>
      <c r="Y12" s="31">
        <v>2974</v>
      </c>
      <c r="Z12" s="31">
        <v>2974</v>
      </c>
      <c r="AA12" s="35">
        <v>2978.1030000000005</v>
      </c>
      <c r="AB12" s="35">
        <v>2967.786</v>
      </c>
      <c r="AC12" s="35">
        <v>2965.8269999999998</v>
      </c>
      <c r="AD12" s="31">
        <v>3037.337</v>
      </c>
      <c r="AE12" s="31">
        <v>3037.337</v>
      </c>
      <c r="AF12" s="35">
        <f>SUM(AF9:AF11)</f>
        <v>3036.3849999999998</v>
      </c>
      <c r="AG12" s="35">
        <f>SUM(AG9:AG11)</f>
        <v>3035.684</v>
      </c>
      <c r="AH12" s="35">
        <f>SUM(AH9:AH11)</f>
        <v>3089.9680000000003</v>
      </c>
      <c r="AI12" s="35">
        <f>SUM(AI9:AI11)</f>
        <v>3088.46</v>
      </c>
    </row>
    <row r="13" spans="1:35" ht="15">
      <c r="A13" s="4"/>
      <c r="B13" s="4"/>
      <c r="C13" s="63" t="s">
        <v>7</v>
      </c>
      <c r="D13" s="4"/>
      <c r="E13" s="4"/>
      <c r="F13" s="14"/>
      <c r="G13" s="14"/>
      <c r="H13" s="14"/>
      <c r="I13" s="14"/>
      <c r="J13" s="14"/>
      <c r="K13" s="14"/>
      <c r="L13" s="116"/>
      <c r="M13" s="14"/>
      <c r="N13" s="14"/>
      <c r="O13" s="14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5"/>
      <c r="AB13" s="194"/>
      <c r="AC13" s="222"/>
      <c r="AE13" s="223"/>
      <c r="AF13" s="222"/>
      <c r="AG13" s="194"/>
      <c r="AH13" s="194"/>
      <c r="AI13" s="194"/>
    </row>
    <row r="14" spans="1:35" ht="15">
      <c r="A14" s="4"/>
      <c r="B14" s="4"/>
      <c r="C14" s="4"/>
      <c r="D14" s="4" t="s">
        <v>8</v>
      </c>
      <c r="E14" s="4"/>
      <c r="F14" s="14">
        <v>222.6</v>
      </c>
      <c r="G14" s="14">
        <v>217.9</v>
      </c>
      <c r="H14" s="14">
        <v>210.5</v>
      </c>
      <c r="I14" s="14">
        <v>216.1</v>
      </c>
      <c r="J14" s="14">
        <v>213.6</v>
      </c>
      <c r="K14" s="14">
        <v>214.8</v>
      </c>
      <c r="L14" s="116">
        <v>233.7</v>
      </c>
      <c r="M14" s="14">
        <f>26.8+184.6</f>
        <v>211.4</v>
      </c>
      <c r="N14" s="14">
        <v>222.7</v>
      </c>
      <c r="O14" s="14">
        <v>247.9</v>
      </c>
      <c r="P14" s="31">
        <v>247.9</v>
      </c>
      <c r="Q14" s="31">
        <v>240</v>
      </c>
      <c r="R14" s="31">
        <v>236</v>
      </c>
      <c r="S14" s="31">
        <v>236</v>
      </c>
      <c r="T14" s="31">
        <v>236</v>
      </c>
      <c r="U14" s="31">
        <v>238</v>
      </c>
      <c r="V14" s="35">
        <v>232</v>
      </c>
      <c r="W14" s="35">
        <v>229</v>
      </c>
      <c r="X14" s="35">
        <v>229</v>
      </c>
      <c r="Y14" s="35">
        <v>226</v>
      </c>
      <c r="Z14" s="35">
        <v>233</v>
      </c>
      <c r="AA14" s="35">
        <v>234.6</v>
      </c>
      <c r="AB14" s="35">
        <v>236.6</v>
      </c>
      <c r="AC14" s="35">
        <v>236.6</v>
      </c>
      <c r="AD14" s="35">
        <v>242.9</v>
      </c>
      <c r="AE14" s="35">
        <v>243</v>
      </c>
      <c r="AF14" s="35">
        <v>244.8</v>
      </c>
      <c r="AG14" s="35">
        <v>247.8</v>
      </c>
      <c r="AH14" s="35">
        <v>240.8</v>
      </c>
      <c r="AI14" s="35">
        <v>245</v>
      </c>
    </row>
    <row r="15" spans="1:36" ht="15">
      <c r="A15" s="4"/>
      <c r="B15" s="4"/>
      <c r="C15" s="4"/>
      <c r="D15" s="4" t="s">
        <v>9</v>
      </c>
      <c r="E15" s="4"/>
      <c r="F15" s="14">
        <v>2688</v>
      </c>
      <c r="G15" s="14">
        <v>2695.6</v>
      </c>
      <c r="H15" s="14">
        <v>2661.1</v>
      </c>
      <c r="I15" s="14">
        <v>2652.5</v>
      </c>
      <c r="J15" s="14">
        <v>2646.2</v>
      </c>
      <c r="K15" s="14">
        <v>2636.1</v>
      </c>
      <c r="L15" s="116">
        <v>2774.1</v>
      </c>
      <c r="M15" s="14">
        <f>472.5+2237+28.4</f>
        <v>2737.9</v>
      </c>
      <c r="N15" s="14">
        <v>2712.9</v>
      </c>
      <c r="O15" s="14">
        <v>2688.5</v>
      </c>
      <c r="P15" s="31">
        <v>2703.3</v>
      </c>
      <c r="Q15" s="31">
        <v>2733</v>
      </c>
      <c r="R15" s="31">
        <v>2734</v>
      </c>
      <c r="S15" s="31">
        <v>2730</v>
      </c>
      <c r="T15" s="31">
        <v>2727</v>
      </c>
      <c r="U15" s="31">
        <v>2742</v>
      </c>
      <c r="V15" s="35">
        <v>2740</v>
      </c>
      <c r="W15" s="35">
        <v>2730</v>
      </c>
      <c r="X15" s="35">
        <v>2730</v>
      </c>
      <c r="Y15" s="35">
        <v>2748</v>
      </c>
      <c r="Z15" s="35">
        <v>2740</v>
      </c>
      <c r="AA15" s="35">
        <v>3301.8</v>
      </c>
      <c r="AB15" s="35">
        <v>3329.8</v>
      </c>
      <c r="AC15" s="35">
        <v>3328.2</v>
      </c>
      <c r="AD15" s="35">
        <v>3395.1</v>
      </c>
      <c r="AE15" s="35">
        <v>3395.1</v>
      </c>
      <c r="AF15" s="35">
        <v>3424.1</v>
      </c>
      <c r="AG15" s="35">
        <v>3433.1</v>
      </c>
      <c r="AH15" s="35">
        <v>3494.3</v>
      </c>
      <c r="AI15" s="35">
        <v>3494.2</v>
      </c>
      <c r="AJ15" s="223"/>
    </row>
    <row r="16" spans="1:26" ht="6" customHeight="1">
      <c r="A16" s="4"/>
      <c r="B16" s="4"/>
      <c r="C16" s="4"/>
      <c r="D16" s="4"/>
      <c r="E16" s="4"/>
      <c r="F16" s="14"/>
      <c r="G16" s="14"/>
      <c r="H16" s="14"/>
      <c r="I16" s="14"/>
      <c r="J16" s="14"/>
      <c r="K16" s="14"/>
      <c r="L16" s="116"/>
      <c r="M16" s="14"/>
      <c r="N16" s="14"/>
      <c r="O16" s="14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35" ht="18.75">
      <c r="A17" s="61"/>
      <c r="B17" s="64" t="s">
        <v>160</v>
      </c>
      <c r="C17" s="61"/>
      <c r="D17" s="61"/>
      <c r="E17" s="61"/>
      <c r="F17" s="14">
        <v>3222.7</v>
      </c>
      <c r="G17" s="14">
        <v>3228.8</v>
      </c>
      <c r="H17" s="14">
        <v>3197.1</v>
      </c>
      <c r="I17" s="14">
        <v>3207.3</v>
      </c>
      <c r="J17" s="14">
        <v>3227.3</v>
      </c>
      <c r="K17" s="14">
        <v>3238.4</v>
      </c>
      <c r="L17" s="116">
        <v>3468.2</v>
      </c>
      <c r="M17" s="14">
        <v>3431.9</v>
      </c>
      <c r="N17" s="14">
        <v>3467.6</v>
      </c>
      <c r="O17" s="14">
        <v>3479</v>
      </c>
      <c r="P17" s="224">
        <f aca="true" t="shared" si="0" ref="P17:AI17">P7+P12</f>
        <v>3488</v>
      </c>
      <c r="Q17" s="224">
        <f t="shared" si="0"/>
        <v>3492</v>
      </c>
      <c r="R17" s="224">
        <f t="shared" si="0"/>
        <v>3488</v>
      </c>
      <c r="S17" s="224">
        <f t="shared" si="0"/>
        <v>3485</v>
      </c>
      <c r="T17" s="224">
        <f t="shared" si="0"/>
        <v>3482</v>
      </c>
      <c r="U17" s="224">
        <f t="shared" si="0"/>
        <v>3505</v>
      </c>
      <c r="V17" s="224">
        <f t="shared" si="0"/>
        <v>3518</v>
      </c>
      <c r="W17" s="224">
        <f t="shared" si="0"/>
        <v>3505</v>
      </c>
      <c r="X17" s="224">
        <f t="shared" si="0"/>
        <v>3505</v>
      </c>
      <c r="Y17" s="224">
        <f t="shared" si="0"/>
        <v>3520</v>
      </c>
      <c r="Z17" s="224">
        <f t="shared" si="0"/>
        <v>3518</v>
      </c>
      <c r="AA17" s="224">
        <f t="shared" si="0"/>
        <v>3536.3920000000007</v>
      </c>
      <c r="AB17" s="224">
        <f t="shared" si="0"/>
        <v>3566.411</v>
      </c>
      <c r="AC17" s="224">
        <f t="shared" si="0"/>
        <v>3564.7969999999996</v>
      </c>
      <c r="AD17" s="224">
        <f t="shared" si="0"/>
        <v>3636.94</v>
      </c>
      <c r="AE17" s="224">
        <f t="shared" si="0"/>
        <v>3638.4610000000002</v>
      </c>
      <c r="AF17" s="224">
        <f t="shared" si="0"/>
        <v>3668.874</v>
      </c>
      <c r="AG17" s="224">
        <f t="shared" si="0"/>
        <v>3680.862</v>
      </c>
      <c r="AH17" s="224">
        <f t="shared" si="0"/>
        <v>3735.0620000000004</v>
      </c>
      <c r="AI17" s="224">
        <f t="shared" si="0"/>
        <v>3739.156</v>
      </c>
    </row>
    <row r="18" spans="1:27" ht="14.25" customHeight="1">
      <c r="A18" s="4"/>
      <c r="B18" s="4"/>
      <c r="C18" s="4"/>
      <c r="D18" s="4"/>
      <c r="E18" s="4"/>
      <c r="F18" s="32" t="s">
        <v>116</v>
      </c>
      <c r="G18" s="32" t="s">
        <v>116</v>
      </c>
      <c r="H18" s="32" t="s">
        <v>116</v>
      </c>
      <c r="I18" s="32" t="s">
        <v>116</v>
      </c>
      <c r="J18" s="32" t="s">
        <v>116</v>
      </c>
      <c r="K18" s="32" t="s">
        <v>116</v>
      </c>
      <c r="L18" s="32" t="s">
        <v>116</v>
      </c>
      <c r="M18" s="32" t="s">
        <v>116</v>
      </c>
      <c r="N18" s="32" t="s">
        <v>116</v>
      </c>
      <c r="P18" s="32" t="str">
        <f>IF(ABS(P17-(P7+P12))&gt;comments!$A$1,P17-(P7+P12)," ")</f>
        <v> 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6" ht="18.75">
      <c r="A19" s="64" t="s">
        <v>175</v>
      </c>
      <c r="B19" s="4"/>
      <c r="C19" s="4"/>
      <c r="D19" s="4"/>
      <c r="E19" s="4"/>
      <c r="F19" s="14"/>
      <c r="G19" s="14"/>
      <c r="H19" s="14"/>
      <c r="I19" s="14"/>
      <c r="J19" s="14"/>
      <c r="K19" s="14"/>
      <c r="L19" s="14"/>
      <c r="M19" s="14"/>
      <c r="N19" s="14"/>
      <c r="P19" s="14"/>
      <c r="Q19" s="14"/>
      <c r="S19" s="29"/>
      <c r="X19" s="133"/>
      <c r="Y19" s="133"/>
      <c r="Z19" s="133"/>
    </row>
    <row r="20" spans="1:26" ht="15">
      <c r="A20" s="4"/>
      <c r="B20" s="4" t="s">
        <v>0</v>
      </c>
      <c r="C20" s="4"/>
      <c r="D20" s="4"/>
      <c r="E20" s="4"/>
      <c r="F20" s="14"/>
      <c r="G20" s="14"/>
      <c r="H20" s="14"/>
      <c r="I20" s="14"/>
      <c r="J20" s="14"/>
      <c r="K20" s="14"/>
      <c r="L20" s="14"/>
      <c r="M20" s="14"/>
      <c r="N20" s="14"/>
      <c r="P20" s="14"/>
      <c r="Q20" s="14"/>
      <c r="S20" s="29"/>
      <c r="X20" s="133"/>
      <c r="Y20" s="133"/>
      <c r="Z20" s="133"/>
    </row>
    <row r="21" spans="1:35" ht="15">
      <c r="A21" s="4"/>
      <c r="B21" s="4"/>
      <c r="C21" s="4" t="s">
        <v>1</v>
      </c>
      <c r="D21" s="4"/>
      <c r="E21" s="4"/>
      <c r="F21" s="14">
        <v>24.1</v>
      </c>
      <c r="G21" s="14">
        <v>24.1</v>
      </c>
      <c r="H21" s="14">
        <v>24.1</v>
      </c>
      <c r="I21" s="14">
        <v>31.4</v>
      </c>
      <c r="J21" s="14">
        <v>31.4</v>
      </c>
      <c r="K21" s="14">
        <v>27.2</v>
      </c>
      <c r="L21" s="118" t="s">
        <v>115</v>
      </c>
      <c r="M21" s="119" t="s">
        <v>115</v>
      </c>
      <c r="N21" s="119" t="s">
        <v>115</v>
      </c>
      <c r="O21" s="119" t="s">
        <v>115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</row>
    <row r="22" spans="1:35" ht="15">
      <c r="A22" s="4"/>
      <c r="B22" s="4"/>
      <c r="C22" s="4" t="s">
        <v>2</v>
      </c>
      <c r="D22" s="4"/>
      <c r="E22" s="4"/>
      <c r="F22" s="14">
        <v>47.2</v>
      </c>
      <c r="G22" s="14">
        <v>47.2</v>
      </c>
      <c r="H22" s="14">
        <v>47.2</v>
      </c>
      <c r="I22" s="14">
        <v>57.3</v>
      </c>
      <c r="J22" s="14">
        <v>57.3</v>
      </c>
      <c r="K22" s="14">
        <v>53</v>
      </c>
      <c r="L22" s="118" t="s">
        <v>115</v>
      </c>
      <c r="M22" s="119" t="s">
        <v>115</v>
      </c>
      <c r="N22" s="119" t="s">
        <v>115</v>
      </c>
      <c r="O22" s="119" t="s">
        <v>115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</row>
    <row r="23" spans="1:26" ht="15">
      <c r="A23" s="4"/>
      <c r="B23" s="4" t="s">
        <v>3</v>
      </c>
      <c r="C23" s="4"/>
      <c r="D23" s="4"/>
      <c r="E23" s="4"/>
      <c r="F23" s="14"/>
      <c r="G23" s="14"/>
      <c r="H23" s="14"/>
      <c r="I23" s="14"/>
      <c r="J23" s="14"/>
      <c r="K23" s="14"/>
      <c r="L23" s="116"/>
      <c r="M23" s="14"/>
      <c r="N23" s="14"/>
      <c r="P23" s="29"/>
      <c r="R23" s="194"/>
      <c r="S23" s="194"/>
      <c r="T23" s="194"/>
      <c r="X23" s="133"/>
      <c r="Y23" s="133"/>
      <c r="Z23" s="133"/>
    </row>
    <row r="24" spans="1:35" ht="18">
      <c r="A24" s="4"/>
      <c r="B24" s="4"/>
      <c r="C24" s="4" t="s">
        <v>136</v>
      </c>
      <c r="D24" s="4"/>
      <c r="E24" s="4"/>
      <c r="F24" s="14">
        <v>270.1</v>
      </c>
      <c r="G24" s="14">
        <v>297.8</v>
      </c>
      <c r="H24" s="14">
        <v>298.8</v>
      </c>
      <c r="I24" s="14">
        <v>298.9</v>
      </c>
      <c r="J24" s="14">
        <v>283.1</v>
      </c>
      <c r="K24" s="14">
        <v>258.9</v>
      </c>
      <c r="L24" s="116">
        <v>209.1</v>
      </c>
      <c r="M24" s="14">
        <v>212</v>
      </c>
      <c r="N24" s="14">
        <v>214.2</v>
      </c>
      <c r="O24" s="120">
        <v>218.68</v>
      </c>
      <c r="P24" s="31">
        <v>225.28</v>
      </c>
      <c r="Q24" s="31">
        <v>225.26</v>
      </c>
      <c r="R24" s="35">
        <v>232.98</v>
      </c>
      <c r="S24" s="35">
        <v>227.69</v>
      </c>
      <c r="T24" s="35">
        <v>227.69</v>
      </c>
      <c r="U24" s="35">
        <f>140.49+105</f>
        <v>245.49</v>
      </c>
      <c r="V24" s="35">
        <v>241.69</v>
      </c>
      <c r="W24" s="207">
        <v>241.99</v>
      </c>
      <c r="X24" s="225">
        <f>W24/W26*X26</f>
        <v>243.3103216077543</v>
      </c>
      <c r="Y24" s="35">
        <f>W24/W26*Y26</f>
        <v>243.3103216077543</v>
      </c>
      <c r="Z24" s="126">
        <v>229</v>
      </c>
      <c r="AA24" s="127">
        <v>231.7</v>
      </c>
      <c r="AB24" s="127">
        <v>268</v>
      </c>
      <c r="AC24" s="127">
        <v>270.2</v>
      </c>
      <c r="AD24" s="127">
        <v>271.73999999999995</v>
      </c>
      <c r="AE24" s="127">
        <v>271.53999999999996</v>
      </c>
      <c r="AF24" s="127">
        <v>271.53999999999996</v>
      </c>
      <c r="AG24" s="127">
        <v>270.53999999999996</v>
      </c>
      <c r="AH24" s="127">
        <v>270.54</v>
      </c>
      <c r="AI24" s="127">
        <v>302.64000000000004</v>
      </c>
    </row>
    <row r="25" spans="1:35" ht="18">
      <c r="A25" s="4"/>
      <c r="B25" s="4"/>
      <c r="C25" s="62" t="s">
        <v>137</v>
      </c>
      <c r="D25" s="4"/>
      <c r="E25" s="4"/>
      <c r="F25" s="14">
        <v>7397.6</v>
      </c>
      <c r="G25" s="14">
        <v>7346.5</v>
      </c>
      <c r="H25" s="14">
        <v>7347.8</v>
      </c>
      <c r="I25" s="14">
        <v>7307.5</v>
      </c>
      <c r="J25" s="14">
        <v>7272.2</v>
      </c>
      <c r="K25" s="14">
        <v>7322.75</v>
      </c>
      <c r="L25" s="116">
        <v>7148.8</v>
      </c>
      <c r="M25" s="14">
        <v>7160.7</v>
      </c>
      <c r="N25" s="14">
        <v>7168.5</v>
      </c>
      <c r="O25" s="120">
        <v>7171.05</v>
      </c>
      <c r="P25" s="31">
        <v>7188.34</v>
      </c>
      <c r="Q25" s="31">
        <v>7181.78</v>
      </c>
      <c r="R25" s="35">
        <v>7184</v>
      </c>
      <c r="S25" s="35">
        <v>7190.04</v>
      </c>
      <c r="T25" s="35">
        <v>7190.04</v>
      </c>
      <c r="U25" s="35">
        <f>1312.48+5875.06</f>
        <v>7187.540000000001</v>
      </c>
      <c r="V25" s="35">
        <v>7182.35</v>
      </c>
      <c r="W25" s="207">
        <v>7138.74</v>
      </c>
      <c r="X25" s="225">
        <f>X26-X24</f>
        <v>7177.689678392246</v>
      </c>
      <c r="Y25" s="35">
        <f>Y26-Y24</f>
        <v>7177.689678392246</v>
      </c>
      <c r="Z25" s="126">
        <v>7185</v>
      </c>
      <c r="AA25" s="14">
        <v>7234.9</v>
      </c>
      <c r="AB25" s="14">
        <v>7204.48</v>
      </c>
      <c r="AC25" s="14">
        <v>7202.499999999999</v>
      </c>
      <c r="AD25" s="14">
        <v>7134.388</v>
      </c>
      <c r="AE25" s="14">
        <v>7142.159000000001</v>
      </c>
      <c r="AF25" s="14">
        <v>7146.459</v>
      </c>
      <c r="AG25" s="14">
        <v>7156.3589999999995</v>
      </c>
      <c r="AH25" s="14">
        <v>7229.909</v>
      </c>
      <c r="AI25" s="14">
        <v>7226.6089999999995</v>
      </c>
    </row>
    <row r="26" spans="1:35" s="111" customFormat="1" ht="15.75">
      <c r="A26" s="61"/>
      <c r="B26" s="61"/>
      <c r="C26" s="63" t="s">
        <v>6</v>
      </c>
      <c r="D26" s="61"/>
      <c r="E26" s="4"/>
      <c r="F26" s="14">
        <v>7667.7</v>
      </c>
      <c r="G26" s="14">
        <v>7644.3</v>
      </c>
      <c r="H26" s="14">
        <v>7646.6</v>
      </c>
      <c r="I26" s="14">
        <v>7606.4</v>
      </c>
      <c r="J26" s="14">
        <v>7555.3</v>
      </c>
      <c r="K26" s="14">
        <v>7581.65</v>
      </c>
      <c r="L26" s="116">
        <v>7357.9</v>
      </c>
      <c r="M26" s="14">
        <v>7372.7</v>
      </c>
      <c r="N26" s="14">
        <v>7382.7</v>
      </c>
      <c r="O26" s="120">
        <f>SUM(O24:O25)</f>
        <v>7389.7300000000005</v>
      </c>
      <c r="P26" s="31">
        <f aca="true" t="shared" si="1" ref="P26:W26">SUM(P24:P25)</f>
        <v>7413.62</v>
      </c>
      <c r="Q26" s="35">
        <f t="shared" si="1"/>
        <v>7407.04</v>
      </c>
      <c r="R26" s="35">
        <f t="shared" si="1"/>
        <v>7416.98</v>
      </c>
      <c r="S26" s="35">
        <f t="shared" si="1"/>
        <v>7417.73</v>
      </c>
      <c r="T26" s="35">
        <f t="shared" si="1"/>
        <v>7417.73</v>
      </c>
      <c r="U26" s="35">
        <f t="shared" si="1"/>
        <v>7433.030000000001</v>
      </c>
      <c r="V26" s="35">
        <f t="shared" si="1"/>
        <v>7424.04</v>
      </c>
      <c r="W26" s="35">
        <f t="shared" si="1"/>
        <v>7380.73</v>
      </c>
      <c r="X26" s="35">
        <v>7421</v>
      </c>
      <c r="Y26" s="35">
        <v>7421</v>
      </c>
      <c r="Z26" s="35">
        <v>7414</v>
      </c>
      <c r="AA26" s="14">
        <v>7466.6</v>
      </c>
      <c r="AB26" s="14">
        <v>7472.5</v>
      </c>
      <c r="AC26" s="14">
        <v>7472.699999999999</v>
      </c>
      <c r="AD26" s="14">
        <v>7406.128</v>
      </c>
      <c r="AE26" s="14">
        <v>7413.6990000000005</v>
      </c>
      <c r="AF26" s="14">
        <v>7417.999</v>
      </c>
      <c r="AG26" s="14">
        <v>7426.898999999999</v>
      </c>
      <c r="AH26" s="14">
        <v>7500.449</v>
      </c>
      <c r="AI26" s="14">
        <v>7529.249</v>
      </c>
    </row>
    <row r="27" spans="1:23" ht="15">
      <c r="A27" s="4"/>
      <c r="B27" s="4"/>
      <c r="C27" s="63" t="s">
        <v>7</v>
      </c>
      <c r="D27" s="4"/>
      <c r="E27" s="4"/>
      <c r="F27" s="14"/>
      <c r="G27" s="14"/>
      <c r="H27" s="14"/>
      <c r="I27" s="14"/>
      <c r="J27" s="14"/>
      <c r="K27" s="14"/>
      <c r="L27" s="116"/>
      <c r="M27" s="14"/>
      <c r="N27" s="14"/>
      <c r="P27" s="31"/>
      <c r="Q27" s="31"/>
      <c r="R27" s="31"/>
      <c r="S27" s="35"/>
      <c r="T27" s="35"/>
      <c r="U27" s="35"/>
      <c r="W27" s="194"/>
    </row>
    <row r="28" spans="1:35" ht="15">
      <c r="A28" s="4"/>
      <c r="B28" s="4"/>
      <c r="C28" s="4"/>
      <c r="D28" s="4" t="s">
        <v>8</v>
      </c>
      <c r="E28" s="4"/>
      <c r="F28" s="14">
        <v>1249.6</v>
      </c>
      <c r="G28" s="14">
        <v>1241.5</v>
      </c>
      <c r="H28" s="14">
        <v>1243.4</v>
      </c>
      <c r="I28" s="14">
        <v>1270.9</v>
      </c>
      <c r="J28" s="14">
        <v>1244.3</v>
      </c>
      <c r="K28" s="14">
        <v>1364.35</v>
      </c>
      <c r="L28" s="116">
        <v>1331</v>
      </c>
      <c r="M28" s="14">
        <v>1366.8</v>
      </c>
      <c r="N28" s="14">
        <v>1383.1</v>
      </c>
      <c r="O28" s="120">
        <v>1384.62</v>
      </c>
      <c r="P28" s="31">
        <v>1416.1</v>
      </c>
      <c r="Q28" s="31">
        <v>1428.91</v>
      </c>
      <c r="R28" s="35">
        <v>1436.9</v>
      </c>
      <c r="S28" s="35">
        <v>1440.37</v>
      </c>
      <c r="T28" s="35">
        <v>1440.37</v>
      </c>
      <c r="U28" s="35">
        <f>140.49+1312.48</f>
        <v>1452.97</v>
      </c>
      <c r="V28" s="35">
        <v>1485.12</v>
      </c>
      <c r="W28" s="35">
        <v>1491.28</v>
      </c>
      <c r="X28" s="35">
        <v>1515</v>
      </c>
      <c r="Y28" s="35">
        <v>1507.64</v>
      </c>
      <c r="Z28" s="35">
        <v>1509</v>
      </c>
      <c r="AA28" s="35">
        <v>1559.3</v>
      </c>
      <c r="AB28" s="35">
        <v>1566.8399999999997</v>
      </c>
      <c r="AC28" s="35">
        <v>1571.8</v>
      </c>
      <c r="AD28" s="35">
        <v>1615.615</v>
      </c>
      <c r="AE28" s="35">
        <v>1621.3680000000002</v>
      </c>
      <c r="AF28" s="35">
        <v>1630.168</v>
      </c>
      <c r="AG28" s="35">
        <v>1641.868</v>
      </c>
      <c r="AH28" s="35">
        <v>1691.268</v>
      </c>
      <c r="AI28" s="35">
        <v>1709.2679999999998</v>
      </c>
    </row>
    <row r="29" spans="1:35" ht="15">
      <c r="A29" s="4"/>
      <c r="B29" s="4"/>
      <c r="C29" s="4"/>
      <c r="D29" s="4" t="s">
        <v>9</v>
      </c>
      <c r="E29" s="4"/>
      <c r="F29" s="14">
        <v>6418.1</v>
      </c>
      <c r="G29" s="14">
        <v>6402.8</v>
      </c>
      <c r="H29" s="14">
        <v>6403.2</v>
      </c>
      <c r="I29" s="14">
        <v>6335.5</v>
      </c>
      <c r="J29" s="14">
        <v>6311</v>
      </c>
      <c r="K29" s="14">
        <v>6217.3</v>
      </c>
      <c r="L29" s="116">
        <v>6026.9</v>
      </c>
      <c r="M29" s="14">
        <v>6005.9</v>
      </c>
      <c r="N29" s="14">
        <v>5999.6</v>
      </c>
      <c r="O29" s="120">
        <v>6005.11</v>
      </c>
      <c r="P29" s="31">
        <v>5997.52</v>
      </c>
      <c r="Q29" s="31">
        <v>5978.15</v>
      </c>
      <c r="R29" s="35">
        <v>5980.36</v>
      </c>
      <c r="S29" s="35">
        <v>5977.36</v>
      </c>
      <c r="T29" s="35">
        <v>5977.36</v>
      </c>
      <c r="U29" s="35">
        <f>105+5875.06</f>
        <v>5980.06</v>
      </c>
      <c r="V29" s="35">
        <v>5938.92</v>
      </c>
      <c r="W29" s="35">
        <v>5889.45</v>
      </c>
      <c r="X29" s="35">
        <v>5906</v>
      </c>
      <c r="Y29" s="35">
        <v>5913.28</v>
      </c>
      <c r="Z29" s="35">
        <v>5905</v>
      </c>
      <c r="AA29" s="35">
        <v>5907.3</v>
      </c>
      <c r="AB29" s="35">
        <v>5905.66</v>
      </c>
      <c r="AC29" s="35">
        <v>5900.9</v>
      </c>
      <c r="AD29" s="35">
        <v>5790.513</v>
      </c>
      <c r="AE29" s="35">
        <v>5792.331</v>
      </c>
      <c r="AF29" s="35">
        <v>5787.831</v>
      </c>
      <c r="AG29" s="35">
        <v>5785.031</v>
      </c>
      <c r="AH29" s="35">
        <v>5809.181</v>
      </c>
      <c r="AI29" s="35">
        <v>5819.981</v>
      </c>
    </row>
    <row r="30" spans="1:23" ht="6" customHeight="1">
      <c r="A30" s="4"/>
      <c r="B30" s="4"/>
      <c r="C30" s="4"/>
      <c r="D30" s="4"/>
      <c r="E30" s="4"/>
      <c r="F30" s="14"/>
      <c r="G30" s="14"/>
      <c r="H30" s="14"/>
      <c r="I30" s="14"/>
      <c r="J30" s="14"/>
      <c r="K30" s="14"/>
      <c r="L30" s="116"/>
      <c r="M30" s="14"/>
      <c r="N30" s="14"/>
      <c r="O30" s="14"/>
      <c r="P30" s="31"/>
      <c r="Q30" s="31"/>
      <c r="R30" s="31"/>
      <c r="S30" s="35"/>
      <c r="T30" s="35"/>
      <c r="U30" s="35"/>
      <c r="W30" s="194"/>
    </row>
    <row r="31" spans="1:35" ht="18.75">
      <c r="A31" s="4"/>
      <c r="B31" s="64" t="s">
        <v>145</v>
      </c>
      <c r="C31" s="61"/>
      <c r="D31" s="61"/>
      <c r="E31" s="61"/>
      <c r="F31" s="14">
        <v>7714.9</v>
      </c>
      <c r="G31" s="14">
        <v>7691.5</v>
      </c>
      <c r="H31" s="14">
        <v>7693.8</v>
      </c>
      <c r="I31" s="14">
        <v>7663.7</v>
      </c>
      <c r="J31" s="14">
        <v>7612.6</v>
      </c>
      <c r="K31" s="14">
        <v>7634.65</v>
      </c>
      <c r="L31" s="116">
        <v>7357.9</v>
      </c>
      <c r="M31" s="14">
        <v>7372.7</v>
      </c>
      <c r="N31" s="14">
        <v>7382.7</v>
      </c>
      <c r="O31" s="14">
        <v>7389.73</v>
      </c>
      <c r="P31" s="224">
        <f aca="true" t="shared" si="2" ref="P31:AI31">SUM(P28:P29)</f>
        <v>7413.620000000001</v>
      </c>
      <c r="Q31" s="226">
        <f t="shared" si="2"/>
        <v>7407.0599999999995</v>
      </c>
      <c r="R31" s="226">
        <f t="shared" si="2"/>
        <v>7417.26</v>
      </c>
      <c r="S31" s="226">
        <f t="shared" si="2"/>
        <v>7417.73</v>
      </c>
      <c r="T31" s="226">
        <f t="shared" si="2"/>
        <v>7417.73</v>
      </c>
      <c r="U31" s="226">
        <f t="shared" si="2"/>
        <v>7433.030000000001</v>
      </c>
      <c r="V31" s="226">
        <f t="shared" si="2"/>
        <v>7424.04</v>
      </c>
      <c r="W31" s="226">
        <f t="shared" si="2"/>
        <v>7380.73</v>
      </c>
      <c r="X31" s="226">
        <f t="shared" si="2"/>
        <v>7421</v>
      </c>
      <c r="Y31" s="226">
        <f t="shared" si="2"/>
        <v>7420.92</v>
      </c>
      <c r="Z31" s="226">
        <f t="shared" si="2"/>
        <v>7414</v>
      </c>
      <c r="AA31" s="226">
        <f t="shared" si="2"/>
        <v>7466.6</v>
      </c>
      <c r="AB31" s="226">
        <f t="shared" si="2"/>
        <v>7472.5</v>
      </c>
      <c r="AC31" s="226">
        <f t="shared" si="2"/>
        <v>7472.7</v>
      </c>
      <c r="AD31" s="226">
        <f t="shared" si="2"/>
        <v>7406.128</v>
      </c>
      <c r="AE31" s="226">
        <f t="shared" si="2"/>
        <v>7413.6990000000005</v>
      </c>
      <c r="AF31" s="226">
        <f t="shared" si="2"/>
        <v>7417.999</v>
      </c>
      <c r="AG31" s="226">
        <f t="shared" si="2"/>
        <v>7426.898999999999</v>
      </c>
      <c r="AH31" s="226">
        <f t="shared" si="2"/>
        <v>7500.449</v>
      </c>
      <c r="AI31" s="226">
        <f t="shared" si="2"/>
        <v>7529.249</v>
      </c>
    </row>
    <row r="32" spans="1:26" ht="15.75" customHeight="1">
      <c r="A32" s="4"/>
      <c r="B32" s="4"/>
      <c r="C32" s="4"/>
      <c r="D32" s="4"/>
      <c r="E32" s="4"/>
      <c r="F32" s="32" t="s">
        <v>116</v>
      </c>
      <c r="G32" s="32" t="s">
        <v>116</v>
      </c>
      <c r="H32" s="32" t="s">
        <v>116</v>
      </c>
      <c r="I32" s="32" t="s">
        <v>116</v>
      </c>
      <c r="J32" s="32" t="s">
        <v>116</v>
      </c>
      <c r="K32" s="32" t="s">
        <v>116</v>
      </c>
      <c r="L32" s="32"/>
      <c r="M32" s="32"/>
      <c r="N32" s="32"/>
      <c r="O32" s="14"/>
      <c r="P32" s="32" t="str">
        <f>IF(ABS(P31-(P22+P26))&gt;comments!$A$1,P31-(P22+P26)," ")</f>
        <v> </v>
      </c>
      <c r="Q32" s="32" t="str">
        <f>IF(ABS(Q31-(Q22+Q26))&gt;comments!$A$1,Q31-(Q22+Q26)," ")</f>
        <v> </v>
      </c>
      <c r="R32" s="32" t="str">
        <f>IF(ABS(R31-(R22+R26))&gt;comments!$A$1,R31-(R22+R26)," ")</f>
        <v> </v>
      </c>
      <c r="S32" s="32" t="str">
        <f>IF(ABS(S31-(S22+S26))&gt;comments!$A$1,S31-(S22+S26)," ")</f>
        <v> </v>
      </c>
      <c r="T32" s="32" t="str">
        <f>IF(ABS(T31-(T22+T26))&gt;comments!$A$1,T31-(T22+T26)," ")</f>
        <v> </v>
      </c>
      <c r="U32" s="32" t="str">
        <f>IF(ABS(U31-(U22+U26))&gt;comments!$A$1,U31-(U22+U26)," ")</f>
        <v> </v>
      </c>
      <c r="V32" s="32" t="str">
        <f>IF(ABS(V31-(V22+V26))&gt;comments!$A$1,V31-(V22+V26)," ")</f>
        <v> </v>
      </c>
      <c r="W32" s="26" t="str">
        <f>IF(ABS(W31-(W22+W26))&gt;comments!$A$1,W31-(W22+W26)," ")</f>
        <v> </v>
      </c>
      <c r="X32" s="26" t="str">
        <f>IF(ABS(X31-(X22+X26))&gt;comments!$A$1,X31-(X22+X26)," ")</f>
        <v> </v>
      </c>
      <c r="Y32" s="26" t="str">
        <f>IF(ABS(Y31-(Y22+Y26))&gt;comments!$A$1,Y31-(Y22+Y26)," ")</f>
        <v> </v>
      </c>
      <c r="Z32" s="26" t="str">
        <f>IF(ABS(Z31-(Z22+Z26))&gt;comments!$A$1,Z31-(Z22+Z26)," ")</f>
        <v> </v>
      </c>
    </row>
    <row r="33" spans="1:23" ht="18.75">
      <c r="A33" s="61" t="s">
        <v>176</v>
      </c>
      <c r="B33" s="4"/>
      <c r="C33" s="4"/>
      <c r="D33" s="4"/>
      <c r="E33" s="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1"/>
      <c r="T33" s="194"/>
      <c r="U33" s="194"/>
      <c r="V33" s="194"/>
      <c r="W33" s="194"/>
    </row>
    <row r="34" spans="1:23" ht="15">
      <c r="A34" s="4"/>
      <c r="B34" s="62" t="s">
        <v>10</v>
      </c>
      <c r="C34" s="4"/>
      <c r="D34" s="4"/>
      <c r="E34" s="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1"/>
      <c r="T34" s="194"/>
      <c r="U34" s="194"/>
      <c r="V34" s="194"/>
      <c r="W34" s="194"/>
    </row>
    <row r="35" spans="1:35" ht="15">
      <c r="A35" s="4"/>
      <c r="B35" s="4"/>
      <c r="C35" s="62" t="s">
        <v>11</v>
      </c>
      <c r="D35" s="4"/>
      <c r="E35" s="4"/>
      <c r="F35" s="14">
        <v>795.3</v>
      </c>
      <c r="G35" s="14">
        <v>830.1</v>
      </c>
      <c r="H35" s="14">
        <v>836</v>
      </c>
      <c r="I35" s="14">
        <v>841.1</v>
      </c>
      <c r="J35" s="14">
        <v>890.3</v>
      </c>
      <c r="K35" s="14">
        <v>918.1</v>
      </c>
      <c r="L35" s="14">
        <v>1020.5</v>
      </c>
      <c r="M35" s="14">
        <v>1045.5</v>
      </c>
      <c r="N35" s="14">
        <v>1056.1</v>
      </c>
      <c r="O35" s="14">
        <v>1041.66</v>
      </c>
      <c r="P35" s="31">
        <v>1053.43</v>
      </c>
      <c r="Q35" s="31">
        <v>1067.41</v>
      </c>
      <c r="R35" s="35">
        <v>1089.63</v>
      </c>
      <c r="S35" s="35">
        <v>1092.18</v>
      </c>
      <c r="T35" s="35">
        <v>1092.18</v>
      </c>
      <c r="U35" s="35">
        <f>26.9+1069.38</f>
        <v>1096.2800000000002</v>
      </c>
      <c r="V35" s="35">
        <v>1140.98</v>
      </c>
      <c r="W35" s="35">
        <v>1151.52</v>
      </c>
      <c r="X35" s="35">
        <v>1174</v>
      </c>
      <c r="Y35" s="35">
        <v>1175.66</v>
      </c>
      <c r="Z35" s="35">
        <v>1170</v>
      </c>
      <c r="AA35" s="35">
        <v>1188.6</v>
      </c>
      <c r="AB35" s="35">
        <v>1194.27</v>
      </c>
      <c r="AC35" s="35">
        <v>1194.1</v>
      </c>
      <c r="AD35" s="35">
        <v>1228.2339999999997</v>
      </c>
      <c r="AE35" s="35">
        <v>1225.6919999999998</v>
      </c>
      <c r="AF35" s="35">
        <v>1230.0919999999999</v>
      </c>
      <c r="AG35" s="35">
        <v>1235.392</v>
      </c>
      <c r="AH35" s="35">
        <v>1240.702</v>
      </c>
      <c r="AI35" s="35">
        <v>1242.202</v>
      </c>
    </row>
    <row r="36" spans="1:42" ht="15">
      <c r="A36" s="4"/>
      <c r="B36" s="4"/>
      <c r="C36" s="62" t="s">
        <v>12</v>
      </c>
      <c r="D36" s="4"/>
      <c r="E36" s="4"/>
      <c r="F36" s="14">
        <v>6365.1</v>
      </c>
      <c r="G36" s="14">
        <v>6408.5</v>
      </c>
      <c r="H36" s="14">
        <v>6437.2</v>
      </c>
      <c r="I36" s="14">
        <v>6411.3</v>
      </c>
      <c r="J36" s="14">
        <v>6420.8</v>
      </c>
      <c r="K36" s="14">
        <v>5819.6</v>
      </c>
      <c r="L36" s="14">
        <v>6292.6</v>
      </c>
      <c r="M36" s="14">
        <v>6329.7</v>
      </c>
      <c r="N36" s="14">
        <v>6302.7</v>
      </c>
      <c r="O36" s="14">
        <v>6305.68</v>
      </c>
      <c r="P36" s="31">
        <v>6324.34</v>
      </c>
      <c r="Q36" s="31">
        <v>6325.1</v>
      </c>
      <c r="R36" s="35">
        <v>6329.44</v>
      </c>
      <c r="S36" s="35">
        <v>6346.12</v>
      </c>
      <c r="T36" s="35">
        <v>6346.12</v>
      </c>
      <c r="U36" s="35">
        <f>39.2+6322.12</f>
        <v>6361.32</v>
      </c>
      <c r="V36" s="35">
        <v>6318.19</v>
      </c>
      <c r="W36" s="35">
        <v>6349.43</v>
      </c>
      <c r="X36" s="35">
        <v>6292</v>
      </c>
      <c r="Y36" s="35">
        <v>6317.55</v>
      </c>
      <c r="Z36" s="35">
        <v>6311</v>
      </c>
      <c r="AA36" s="35">
        <v>6309.9</v>
      </c>
      <c r="AB36" s="35">
        <v>6309.25</v>
      </c>
      <c r="AC36" s="35">
        <v>6305.4</v>
      </c>
      <c r="AD36" s="35">
        <v>6269.548999999999</v>
      </c>
      <c r="AE36" s="35">
        <v>6276.2570000000005</v>
      </c>
      <c r="AF36" s="35">
        <v>6268.157</v>
      </c>
      <c r="AG36" s="35">
        <v>6255.356999999999</v>
      </c>
      <c r="AH36" s="35">
        <v>6265.656999999999</v>
      </c>
      <c r="AI36" s="35">
        <v>6274.556999999999</v>
      </c>
      <c r="AP36" s="211"/>
    </row>
    <row r="37" spans="1:42" ht="15">
      <c r="A37" s="4"/>
      <c r="B37" s="4"/>
      <c r="C37" s="62" t="s">
        <v>13</v>
      </c>
      <c r="D37" s="4"/>
      <c r="E37" s="4"/>
      <c r="F37" s="14">
        <v>7160.4</v>
      </c>
      <c r="G37" s="14">
        <v>7238.6</v>
      </c>
      <c r="H37" s="14">
        <v>7273.1</v>
      </c>
      <c r="I37" s="14">
        <v>7252.4</v>
      </c>
      <c r="J37" s="14">
        <v>7311.1</v>
      </c>
      <c r="K37" s="14">
        <v>6737.7</v>
      </c>
      <c r="L37" s="14">
        <v>7313.1</v>
      </c>
      <c r="M37" s="14">
        <v>7375.2</v>
      </c>
      <c r="N37" s="14">
        <v>7358.8</v>
      </c>
      <c r="O37" s="14">
        <f>SUM(O35:O36)</f>
        <v>7347.34</v>
      </c>
      <c r="P37" s="31">
        <f aca="true" t="shared" si="3" ref="P37:AI37">SUM(P35:P36)</f>
        <v>7377.77</v>
      </c>
      <c r="Q37" s="31">
        <f t="shared" si="3"/>
        <v>7392.51</v>
      </c>
      <c r="R37" s="31">
        <f t="shared" si="3"/>
        <v>7419.07</v>
      </c>
      <c r="S37" s="35">
        <f t="shared" si="3"/>
        <v>7438.3</v>
      </c>
      <c r="T37" s="35">
        <f t="shared" si="3"/>
        <v>7438.3</v>
      </c>
      <c r="U37" s="35">
        <f t="shared" si="3"/>
        <v>7457.6</v>
      </c>
      <c r="V37" s="35">
        <f t="shared" si="3"/>
        <v>7459.17</v>
      </c>
      <c r="W37" s="35">
        <f t="shared" si="3"/>
        <v>7500.950000000001</v>
      </c>
      <c r="X37" s="35">
        <f t="shared" si="3"/>
        <v>7466</v>
      </c>
      <c r="Y37" s="35">
        <f t="shared" si="3"/>
        <v>7493.21</v>
      </c>
      <c r="Z37" s="35">
        <f t="shared" si="3"/>
        <v>7481</v>
      </c>
      <c r="AA37" s="35">
        <f t="shared" si="3"/>
        <v>7498.5</v>
      </c>
      <c r="AB37" s="35">
        <f t="shared" si="3"/>
        <v>7503.52</v>
      </c>
      <c r="AC37" s="35">
        <f t="shared" si="3"/>
        <v>7499.5</v>
      </c>
      <c r="AD37" s="35">
        <f t="shared" si="3"/>
        <v>7497.7829999999985</v>
      </c>
      <c r="AE37" s="35">
        <f t="shared" si="3"/>
        <v>7501.9490000000005</v>
      </c>
      <c r="AF37" s="35">
        <f t="shared" si="3"/>
        <v>7498.249</v>
      </c>
      <c r="AG37" s="35">
        <f t="shared" si="3"/>
        <v>7490.748999999999</v>
      </c>
      <c r="AH37" s="35">
        <f t="shared" si="3"/>
        <v>7506.3589999999995</v>
      </c>
      <c r="AI37" s="35">
        <f t="shared" si="3"/>
        <v>7516.758999999999</v>
      </c>
      <c r="AP37" s="211"/>
    </row>
    <row r="38" spans="1:42" ht="15">
      <c r="A38" s="4"/>
      <c r="B38" s="62" t="s">
        <v>14</v>
      </c>
      <c r="C38" s="4"/>
      <c r="D38" s="4"/>
      <c r="E38" s="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1"/>
      <c r="Q38" s="31"/>
      <c r="R38" s="31"/>
      <c r="T38" s="194"/>
      <c r="U38" s="194"/>
      <c r="V38" s="194"/>
      <c r="W38" s="194"/>
      <c r="AP38" s="211"/>
    </row>
    <row r="39" spans="1:42" ht="15">
      <c r="A39" s="4"/>
      <c r="B39" s="4"/>
      <c r="C39" s="62" t="s">
        <v>11</v>
      </c>
      <c r="D39" s="4"/>
      <c r="E39" s="4"/>
      <c r="F39" s="14">
        <v>978.2</v>
      </c>
      <c r="G39" s="14">
        <v>1012.3</v>
      </c>
      <c r="H39" s="14">
        <v>991.6</v>
      </c>
      <c r="I39" s="14">
        <v>997.2</v>
      </c>
      <c r="J39" s="14">
        <v>1056.1</v>
      </c>
      <c r="K39" s="14">
        <v>1196.5</v>
      </c>
      <c r="L39" s="14">
        <v>1121.2</v>
      </c>
      <c r="M39" s="14">
        <v>1113.3</v>
      </c>
      <c r="N39" s="14">
        <v>1131</v>
      </c>
      <c r="O39" s="14">
        <v>1176.24</v>
      </c>
      <c r="P39" s="31">
        <v>1204.88</v>
      </c>
      <c r="Q39" s="31">
        <v>1219.01</v>
      </c>
      <c r="R39" s="35">
        <v>1241.78</v>
      </c>
      <c r="S39" s="35">
        <v>1273.5</v>
      </c>
      <c r="T39" s="35">
        <v>1273.5</v>
      </c>
      <c r="U39" s="35">
        <f>5.1+1271.23</f>
        <v>1276.33</v>
      </c>
      <c r="V39" s="35">
        <v>1353.42</v>
      </c>
      <c r="W39" s="35">
        <v>1266.47</v>
      </c>
      <c r="X39" s="35">
        <v>1576</v>
      </c>
      <c r="Y39" s="35">
        <v>1556.11</v>
      </c>
      <c r="Z39" s="35">
        <v>1555</v>
      </c>
      <c r="AA39" s="35">
        <v>1582.2</v>
      </c>
      <c r="AB39" s="35">
        <v>1586</v>
      </c>
      <c r="AC39" s="35">
        <v>1592.8</v>
      </c>
      <c r="AD39" s="35">
        <v>1621.1090000000004</v>
      </c>
      <c r="AE39" s="35">
        <v>1652.6490000000001</v>
      </c>
      <c r="AF39" s="35">
        <v>1658.1490000000001</v>
      </c>
      <c r="AG39" s="35">
        <v>1657.8490000000002</v>
      </c>
      <c r="AH39" s="35">
        <v>1666.195</v>
      </c>
      <c r="AI39" s="35">
        <v>1678.745</v>
      </c>
      <c r="AP39" s="211"/>
    </row>
    <row r="40" spans="1:42" ht="15">
      <c r="A40" s="4"/>
      <c r="B40" s="4"/>
      <c r="C40" s="62" t="s">
        <v>12</v>
      </c>
      <c r="D40" s="4"/>
      <c r="E40" s="4"/>
      <c r="F40" s="14">
        <v>9248.8</v>
      </c>
      <c r="G40" s="14">
        <v>9256</v>
      </c>
      <c r="H40" s="14">
        <v>9242.6</v>
      </c>
      <c r="I40" s="14">
        <v>9253.9</v>
      </c>
      <c r="J40" s="14">
        <v>9246.6</v>
      </c>
      <c r="K40" s="14">
        <v>9724.8</v>
      </c>
      <c r="L40" s="14">
        <v>9287.2</v>
      </c>
      <c r="M40" s="14">
        <v>9238.7</v>
      </c>
      <c r="N40" s="14">
        <v>9209.1</v>
      </c>
      <c r="O40" s="14">
        <v>9152.83</v>
      </c>
      <c r="P40" s="31">
        <v>9094.09</v>
      </c>
      <c r="Q40" s="31">
        <v>9103.59</v>
      </c>
      <c r="R40" s="35">
        <v>9079.49</v>
      </c>
      <c r="S40" s="35">
        <v>9051.8</v>
      </c>
      <c r="T40" s="35">
        <v>9051.8</v>
      </c>
      <c r="U40" s="35">
        <f>1.9+9057.52</f>
        <v>9059.42</v>
      </c>
      <c r="V40" s="35">
        <v>9065.3</v>
      </c>
      <c r="W40" s="35">
        <v>9104.16</v>
      </c>
      <c r="X40" s="35">
        <v>9091</v>
      </c>
      <c r="Y40" s="35">
        <v>9101.98</v>
      </c>
      <c r="Z40" s="35">
        <v>9098</v>
      </c>
      <c r="AA40" s="35">
        <v>9104.8</v>
      </c>
      <c r="AB40" s="35">
        <v>9103.629999999997</v>
      </c>
      <c r="AC40" s="35">
        <v>9097.7</v>
      </c>
      <c r="AD40" s="35">
        <v>9060.224</v>
      </c>
      <c r="AE40" s="35">
        <v>9050.842</v>
      </c>
      <c r="AF40" s="35">
        <v>9044.942</v>
      </c>
      <c r="AG40" s="35">
        <v>9042.942</v>
      </c>
      <c r="AH40" s="35">
        <v>9020.863</v>
      </c>
      <c r="AI40" s="35">
        <v>9018.363</v>
      </c>
      <c r="AP40" s="211"/>
    </row>
    <row r="41" spans="1:42" ht="15">
      <c r="A41" s="4"/>
      <c r="B41" s="4"/>
      <c r="C41" s="62" t="s">
        <v>13</v>
      </c>
      <c r="D41" s="4"/>
      <c r="E41" s="4"/>
      <c r="F41" s="14">
        <v>10227</v>
      </c>
      <c r="G41" s="14">
        <v>10248.3</v>
      </c>
      <c r="H41" s="14">
        <v>10234.2</v>
      </c>
      <c r="I41" s="14">
        <v>10251.1</v>
      </c>
      <c r="J41" s="14">
        <v>10302.65</v>
      </c>
      <c r="K41" s="14">
        <v>10921.3</v>
      </c>
      <c r="L41" s="14">
        <v>10408.4</v>
      </c>
      <c r="M41" s="14">
        <v>10352</v>
      </c>
      <c r="N41" s="14">
        <v>10340.1</v>
      </c>
      <c r="O41" s="14">
        <f>SUM(O39:O40)</f>
        <v>10329.07</v>
      </c>
      <c r="P41" s="31">
        <f aca="true" t="shared" si="4" ref="P41:AI41">SUM(P39:P40)</f>
        <v>10298.970000000001</v>
      </c>
      <c r="Q41" s="31">
        <f t="shared" si="4"/>
        <v>10322.6</v>
      </c>
      <c r="R41" s="31">
        <f t="shared" si="4"/>
        <v>10321.27</v>
      </c>
      <c r="S41" s="35">
        <f t="shared" si="4"/>
        <v>10325.3</v>
      </c>
      <c r="T41" s="35">
        <f t="shared" si="4"/>
        <v>10325.3</v>
      </c>
      <c r="U41" s="35">
        <f t="shared" si="4"/>
        <v>10335.75</v>
      </c>
      <c r="V41" s="35">
        <f t="shared" si="4"/>
        <v>10418.72</v>
      </c>
      <c r="W41" s="35">
        <f t="shared" si="4"/>
        <v>10370.63</v>
      </c>
      <c r="X41" s="35">
        <f t="shared" si="4"/>
        <v>10667</v>
      </c>
      <c r="Y41" s="35">
        <f t="shared" si="4"/>
        <v>10658.09</v>
      </c>
      <c r="Z41" s="35">
        <f t="shared" si="4"/>
        <v>10653</v>
      </c>
      <c r="AA41" s="35">
        <f t="shared" si="4"/>
        <v>10687</v>
      </c>
      <c r="AB41" s="35">
        <f t="shared" si="4"/>
        <v>10689.629999999997</v>
      </c>
      <c r="AC41" s="35">
        <f t="shared" si="4"/>
        <v>10690.5</v>
      </c>
      <c r="AD41" s="35">
        <f t="shared" si="4"/>
        <v>10681.333</v>
      </c>
      <c r="AE41" s="35">
        <f t="shared" si="4"/>
        <v>10703.491</v>
      </c>
      <c r="AF41" s="35">
        <f t="shared" si="4"/>
        <v>10703.090999999999</v>
      </c>
      <c r="AG41" s="35">
        <f t="shared" si="4"/>
        <v>10700.791</v>
      </c>
      <c r="AH41" s="35">
        <f t="shared" si="4"/>
        <v>10687.057999999999</v>
      </c>
      <c r="AI41" s="35">
        <f t="shared" si="4"/>
        <v>10697.108</v>
      </c>
      <c r="AP41" s="211"/>
    </row>
    <row r="42" spans="1:42" ht="15">
      <c r="A42" s="4"/>
      <c r="B42" s="4" t="s">
        <v>15</v>
      </c>
      <c r="C42" s="4"/>
      <c r="D42" s="4"/>
      <c r="E42" s="4"/>
      <c r="F42" s="14"/>
      <c r="G42" s="14"/>
      <c r="H42" s="14"/>
      <c r="I42" s="14"/>
      <c r="J42" s="14"/>
      <c r="K42" s="14"/>
      <c r="L42" s="14"/>
      <c r="M42" s="14"/>
      <c r="N42" s="14"/>
      <c r="P42" s="31"/>
      <c r="Q42" s="31"/>
      <c r="R42" s="31"/>
      <c r="T42" s="194"/>
      <c r="U42" s="194"/>
      <c r="V42" s="194"/>
      <c r="W42" s="194"/>
      <c r="AN42" s="111"/>
      <c r="AO42" s="111"/>
      <c r="AP42" s="206"/>
    </row>
    <row r="43" spans="1:42" ht="15">
      <c r="A43" s="4"/>
      <c r="B43" s="4"/>
      <c r="C43" s="62" t="s">
        <v>11</v>
      </c>
      <c r="D43" s="4"/>
      <c r="E43" s="4"/>
      <c r="F43" s="14">
        <v>11432.2</v>
      </c>
      <c r="G43" s="14">
        <v>11542</v>
      </c>
      <c r="H43" s="14">
        <v>11623.3</v>
      </c>
      <c r="I43" s="14">
        <v>11723.2</v>
      </c>
      <c r="J43" s="14">
        <v>12232</v>
      </c>
      <c r="K43" s="14">
        <v>12597.51</v>
      </c>
      <c r="L43" s="14">
        <v>12693</v>
      </c>
      <c r="M43" s="14">
        <v>13124</v>
      </c>
      <c r="N43" s="14">
        <v>13318.6</v>
      </c>
      <c r="O43" s="14">
        <v>13477.68</v>
      </c>
      <c r="P43" s="31">
        <v>13584.53</v>
      </c>
      <c r="Q43" s="31">
        <v>13714.27</v>
      </c>
      <c r="R43" s="35">
        <v>14224.65</v>
      </c>
      <c r="S43" s="35">
        <v>14175.720000000001</v>
      </c>
      <c r="T43" s="35">
        <v>14210.12</v>
      </c>
      <c r="U43" s="35">
        <v>14399.24</v>
      </c>
      <c r="V43" s="35">
        <v>14465.12</v>
      </c>
      <c r="W43" s="35">
        <v>14767.61</v>
      </c>
      <c r="X43" s="35">
        <v>14572.6</v>
      </c>
      <c r="Y43" s="35">
        <v>14714.41</v>
      </c>
      <c r="Z43" s="35">
        <v>14827.6</v>
      </c>
      <c r="AA43" s="35">
        <v>14856.046000000004</v>
      </c>
      <c r="AB43" s="35">
        <v>14947.670000000004</v>
      </c>
      <c r="AC43" s="35">
        <v>15020.2</v>
      </c>
      <c r="AD43" s="35">
        <v>15097.241000000002</v>
      </c>
      <c r="AE43" s="35">
        <v>15198.185000000003</v>
      </c>
      <c r="AF43" s="35">
        <v>15273.495000000004</v>
      </c>
      <c r="AG43" s="35">
        <v>15378.908000000001</v>
      </c>
      <c r="AH43" s="35">
        <v>15464.568000000005</v>
      </c>
      <c r="AI43" s="35">
        <v>15560.960000000001</v>
      </c>
      <c r="AP43" s="211"/>
    </row>
    <row r="44" spans="1:42" ht="15">
      <c r="A44" s="4"/>
      <c r="B44" s="4"/>
      <c r="C44" s="62" t="s">
        <v>12</v>
      </c>
      <c r="D44" s="4"/>
      <c r="E44" s="4"/>
      <c r="F44" s="14">
        <v>11944.4</v>
      </c>
      <c r="G44" s="14">
        <v>11974</v>
      </c>
      <c r="H44" s="14">
        <v>12027.6</v>
      </c>
      <c r="I44" s="14">
        <v>12037</v>
      </c>
      <c r="J44" s="14">
        <v>11660</v>
      </c>
      <c r="K44" s="14">
        <v>11672.2</v>
      </c>
      <c r="L44" s="14">
        <v>11837.2</v>
      </c>
      <c r="M44" s="14">
        <v>11491.2</v>
      </c>
      <c r="N44" s="14">
        <v>11454.5</v>
      </c>
      <c r="O44" s="14">
        <v>11497.32</v>
      </c>
      <c r="P44" s="31">
        <v>11720.6</v>
      </c>
      <c r="Q44" s="31">
        <v>11726.85</v>
      </c>
      <c r="R44" s="35">
        <v>11719.5</v>
      </c>
      <c r="S44" s="35">
        <v>11717.24</v>
      </c>
      <c r="T44" s="35">
        <v>11717.04</v>
      </c>
      <c r="U44" s="35">
        <f>2.3+11713.64</f>
        <v>11715.939999999999</v>
      </c>
      <c r="V44" s="35">
        <v>11683.34</v>
      </c>
      <c r="W44" s="35">
        <v>11660.97</v>
      </c>
      <c r="X44" s="35">
        <v>11712</v>
      </c>
      <c r="Y44" s="35">
        <v>11725.64</v>
      </c>
      <c r="Z44" s="35">
        <v>11732</v>
      </c>
      <c r="AA44" s="35">
        <v>11727.229000000001</v>
      </c>
      <c r="AB44" s="35">
        <v>11732.270000000002</v>
      </c>
      <c r="AC44" s="35">
        <v>11727.7</v>
      </c>
      <c r="AD44" s="35">
        <v>11734.803</v>
      </c>
      <c r="AE44" s="35">
        <v>11696.373000000003</v>
      </c>
      <c r="AF44" s="35">
        <v>11688.073</v>
      </c>
      <c r="AG44" s="35">
        <v>11686.073</v>
      </c>
      <c r="AH44" s="35">
        <v>11697.066</v>
      </c>
      <c r="AI44" s="35">
        <v>11678.966</v>
      </c>
      <c r="AP44" s="211"/>
    </row>
    <row r="45" spans="1:42" ht="12.75" customHeight="1">
      <c r="A45" s="4"/>
      <c r="B45" s="4"/>
      <c r="C45" s="62" t="s">
        <v>13</v>
      </c>
      <c r="D45" s="4"/>
      <c r="E45" s="4"/>
      <c r="F45" s="14">
        <v>23377.2</v>
      </c>
      <c r="G45" s="14">
        <v>23516</v>
      </c>
      <c r="H45" s="14">
        <v>23650.9</v>
      </c>
      <c r="I45" s="14">
        <v>23760.2</v>
      </c>
      <c r="J45" s="14">
        <v>23892</v>
      </c>
      <c r="K45" s="14">
        <v>24269.71</v>
      </c>
      <c r="L45" s="14">
        <v>24530.2</v>
      </c>
      <c r="M45" s="14">
        <v>24617.6</v>
      </c>
      <c r="N45" s="14">
        <v>24775.5</v>
      </c>
      <c r="O45" s="14">
        <f>SUM(O43:O44)</f>
        <v>24975</v>
      </c>
      <c r="P45" s="31">
        <f aca="true" t="shared" si="5" ref="P45:AA45">SUM(P43:P44)</f>
        <v>25305.13</v>
      </c>
      <c r="Q45" s="31">
        <f t="shared" si="5"/>
        <v>25441.120000000003</v>
      </c>
      <c r="R45" s="31">
        <f t="shared" si="5"/>
        <v>25944.15</v>
      </c>
      <c r="S45" s="35">
        <f t="shared" si="5"/>
        <v>25892.96</v>
      </c>
      <c r="T45" s="35">
        <f t="shared" si="5"/>
        <v>25927.160000000003</v>
      </c>
      <c r="U45" s="35">
        <f t="shared" si="5"/>
        <v>26115.18</v>
      </c>
      <c r="V45" s="35">
        <f t="shared" si="5"/>
        <v>26148.46</v>
      </c>
      <c r="W45" s="35">
        <f t="shared" si="5"/>
        <v>26428.58</v>
      </c>
      <c r="X45" s="35">
        <f t="shared" si="5"/>
        <v>26284.6</v>
      </c>
      <c r="Y45" s="35">
        <f t="shared" si="5"/>
        <v>26440.05</v>
      </c>
      <c r="Z45" s="35">
        <f t="shared" si="5"/>
        <v>26559.6</v>
      </c>
      <c r="AA45" s="35">
        <f t="shared" si="5"/>
        <v>26583.275000000005</v>
      </c>
      <c r="AB45" s="35">
        <f aca="true" t="shared" si="6" ref="AB45:AG45">SUM(AB43:AB44)</f>
        <v>26679.940000000006</v>
      </c>
      <c r="AC45" s="35">
        <f t="shared" si="6"/>
        <v>26747.9</v>
      </c>
      <c r="AD45" s="35">
        <f t="shared" si="6"/>
        <v>26832.044</v>
      </c>
      <c r="AE45" s="35">
        <f t="shared" si="6"/>
        <v>26894.558000000005</v>
      </c>
      <c r="AF45" s="35">
        <f t="shared" si="6"/>
        <v>26961.568000000007</v>
      </c>
      <c r="AG45" s="35">
        <f t="shared" si="6"/>
        <v>27064.981</v>
      </c>
      <c r="AH45" s="35">
        <f>SUM(AH43:AH44)</f>
        <v>27161.634000000005</v>
      </c>
      <c r="AI45" s="35">
        <f>SUM(AI43:AI44)</f>
        <v>27239.926</v>
      </c>
      <c r="AK45" s="223"/>
      <c r="AP45" s="211"/>
    </row>
    <row r="46" spans="1:28" ht="6" customHeight="1">
      <c r="A46" s="4"/>
      <c r="B46" s="4"/>
      <c r="C46" s="62"/>
      <c r="D46" s="4"/>
      <c r="E46" s="4"/>
      <c r="F46" s="14"/>
      <c r="G46" s="14"/>
      <c r="H46" s="14"/>
      <c r="I46" s="14"/>
      <c r="J46" s="14"/>
      <c r="K46" s="14"/>
      <c r="L46" s="14"/>
      <c r="M46" s="14"/>
      <c r="N46" s="14"/>
      <c r="P46" s="31"/>
      <c r="Q46" s="31"/>
      <c r="R46" s="31"/>
      <c r="T46" s="194"/>
      <c r="U46" s="194"/>
      <c r="V46" s="194"/>
      <c r="W46" s="194"/>
      <c r="AA46" s="194"/>
      <c r="AB46" s="194"/>
    </row>
    <row r="47" spans="1:42" s="111" customFormat="1" ht="12.75" customHeight="1">
      <c r="A47" s="61"/>
      <c r="B47" s="64" t="s">
        <v>16</v>
      </c>
      <c r="C47" s="61"/>
      <c r="D47" s="61"/>
      <c r="E47" s="61"/>
      <c r="F47" s="14">
        <f aca="true" t="shared" si="7" ref="F47:AC47">F37+F41+F45</f>
        <v>40764.600000000006</v>
      </c>
      <c r="G47" s="14">
        <f t="shared" si="7"/>
        <v>41002.9</v>
      </c>
      <c r="H47" s="14">
        <f t="shared" si="7"/>
        <v>41158.200000000004</v>
      </c>
      <c r="I47" s="14">
        <f t="shared" si="7"/>
        <v>41263.7</v>
      </c>
      <c r="J47" s="14">
        <f t="shared" si="7"/>
        <v>41505.75</v>
      </c>
      <c r="K47" s="14">
        <f t="shared" si="7"/>
        <v>41928.71</v>
      </c>
      <c r="L47" s="14">
        <f t="shared" si="7"/>
        <v>42251.7</v>
      </c>
      <c r="M47" s="14">
        <f t="shared" si="7"/>
        <v>42344.8</v>
      </c>
      <c r="N47" s="14">
        <f>N37+N41+N45</f>
        <v>42474.4</v>
      </c>
      <c r="O47" s="14">
        <f t="shared" si="7"/>
        <v>42651.41</v>
      </c>
      <c r="P47" s="224">
        <f t="shared" si="7"/>
        <v>42981.87</v>
      </c>
      <c r="Q47" s="224">
        <f t="shared" si="7"/>
        <v>43156.23</v>
      </c>
      <c r="R47" s="224">
        <f t="shared" si="7"/>
        <v>43684.490000000005</v>
      </c>
      <c r="S47" s="224">
        <f t="shared" si="7"/>
        <v>43656.56</v>
      </c>
      <c r="T47" s="226">
        <f t="shared" si="7"/>
        <v>43690.76</v>
      </c>
      <c r="U47" s="226">
        <f t="shared" si="7"/>
        <v>43908.53</v>
      </c>
      <c r="V47" s="226">
        <f t="shared" si="7"/>
        <v>44026.35</v>
      </c>
      <c r="W47" s="226">
        <f t="shared" si="7"/>
        <v>44300.16</v>
      </c>
      <c r="X47" s="226">
        <f t="shared" si="7"/>
        <v>44417.6</v>
      </c>
      <c r="Y47" s="226">
        <f t="shared" si="7"/>
        <v>44591.35</v>
      </c>
      <c r="Z47" s="226">
        <f t="shared" si="7"/>
        <v>44693.6</v>
      </c>
      <c r="AA47" s="226">
        <f t="shared" si="7"/>
        <v>44768.77500000001</v>
      </c>
      <c r="AB47" s="226">
        <f t="shared" si="7"/>
        <v>44873.090000000004</v>
      </c>
      <c r="AC47" s="226">
        <f t="shared" si="7"/>
        <v>44937.9</v>
      </c>
      <c r="AD47" s="226">
        <f aca="true" t="shared" si="8" ref="AD47:AI47">AD37+AD41+AD45</f>
        <v>45011.16</v>
      </c>
      <c r="AE47" s="226">
        <f t="shared" si="8"/>
        <v>45099.99800000001</v>
      </c>
      <c r="AF47" s="226">
        <f t="shared" si="8"/>
        <v>45162.908</v>
      </c>
      <c r="AG47" s="226">
        <f t="shared" si="8"/>
        <v>45256.52099999999</v>
      </c>
      <c r="AH47" s="226">
        <f t="shared" si="8"/>
        <v>45355.05100000001</v>
      </c>
      <c r="AI47" s="226">
        <f t="shared" si="8"/>
        <v>45453.793</v>
      </c>
      <c r="AN47" s="133"/>
      <c r="AO47" s="133"/>
      <c r="AP47" s="211"/>
    </row>
    <row r="48" spans="1:42" ht="14.25" customHeight="1">
      <c r="A48" s="4"/>
      <c r="B48" s="4"/>
      <c r="C48" s="4"/>
      <c r="D48" s="4"/>
      <c r="E48" s="4"/>
      <c r="F48" s="32" t="s">
        <v>116</v>
      </c>
      <c r="G48" s="32" t="s">
        <v>116</v>
      </c>
      <c r="H48" s="32" t="s">
        <v>116</v>
      </c>
      <c r="I48" s="32" t="s">
        <v>116</v>
      </c>
      <c r="J48" s="32" t="s">
        <v>116</v>
      </c>
      <c r="K48" s="32" t="s">
        <v>116</v>
      </c>
      <c r="L48" s="32" t="s">
        <v>116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P48" s="211"/>
    </row>
    <row r="49" spans="1:42" ht="15.75" customHeight="1">
      <c r="A49" s="64" t="s">
        <v>161</v>
      </c>
      <c r="B49" s="4"/>
      <c r="C49" s="4"/>
      <c r="D49" s="4"/>
      <c r="E49" s="4"/>
      <c r="F49" s="14"/>
      <c r="G49" s="14"/>
      <c r="H49" s="14"/>
      <c r="I49" s="14"/>
      <c r="J49" s="14"/>
      <c r="K49" s="14"/>
      <c r="L49" s="14"/>
      <c r="M49" s="14"/>
      <c r="N49" s="14"/>
      <c r="P49" s="14"/>
      <c r="R49" s="31"/>
      <c r="T49" s="194"/>
      <c r="U49" s="194"/>
      <c r="V49" s="194"/>
      <c r="W49" s="194"/>
      <c r="AP49" s="211"/>
    </row>
    <row r="50" spans="1:42" ht="15">
      <c r="A50" s="4"/>
      <c r="B50" s="4" t="s">
        <v>0</v>
      </c>
      <c r="C50" s="4"/>
      <c r="D50" s="4"/>
      <c r="E50" s="4"/>
      <c r="F50" s="14"/>
      <c r="G50" s="14"/>
      <c r="H50" s="14"/>
      <c r="I50" s="14"/>
      <c r="J50" s="14"/>
      <c r="K50" s="14"/>
      <c r="L50" s="14"/>
      <c r="M50" s="14"/>
      <c r="N50" s="14"/>
      <c r="P50" s="14"/>
      <c r="R50" s="31"/>
      <c r="T50" s="194"/>
      <c r="U50" s="194"/>
      <c r="V50" s="194"/>
      <c r="W50" s="194"/>
      <c r="AP50" s="211"/>
    </row>
    <row r="51" spans="1:42" ht="15">
      <c r="A51" s="4"/>
      <c r="B51" s="4"/>
      <c r="C51" s="4" t="s">
        <v>1</v>
      </c>
      <c r="D51" s="4"/>
      <c r="E51" s="4"/>
      <c r="F51" s="14">
        <f aca="true" t="shared" si="9" ref="F51:K52">F6+F21</f>
        <v>258.5</v>
      </c>
      <c r="G51" s="14">
        <f t="shared" si="9"/>
        <v>257.40000000000003</v>
      </c>
      <c r="H51" s="14">
        <f t="shared" si="9"/>
        <v>268.5</v>
      </c>
      <c r="I51" s="14">
        <f t="shared" si="9"/>
        <v>285.5</v>
      </c>
      <c r="J51" s="14">
        <f t="shared" si="9"/>
        <v>305</v>
      </c>
      <c r="K51" s="14">
        <f t="shared" si="9"/>
        <v>310.59999999999997</v>
      </c>
      <c r="L51" s="14">
        <f aca="true" t="shared" si="10" ref="L51:N52">L6</f>
        <v>310.9</v>
      </c>
      <c r="M51" s="14">
        <f t="shared" si="10"/>
        <v>328.9</v>
      </c>
      <c r="N51" s="14">
        <f t="shared" si="10"/>
        <v>369.1</v>
      </c>
      <c r="O51" s="14">
        <f>O6</f>
        <v>371</v>
      </c>
      <c r="P51" s="227">
        <f aca="true" t="shared" si="11" ref="P51:AB52">P6</f>
        <v>378</v>
      </c>
      <c r="Q51" s="227">
        <f t="shared" si="11"/>
        <v>371</v>
      </c>
      <c r="R51" s="225">
        <f t="shared" si="11"/>
        <v>371</v>
      </c>
      <c r="S51" s="225">
        <f t="shared" si="11"/>
        <v>371</v>
      </c>
      <c r="T51" s="225">
        <f t="shared" si="11"/>
        <v>371</v>
      </c>
      <c r="U51" s="225">
        <f t="shared" si="11"/>
        <v>377</v>
      </c>
      <c r="V51" s="225">
        <f t="shared" si="11"/>
        <v>392</v>
      </c>
      <c r="W51" s="225">
        <f t="shared" si="11"/>
        <v>392</v>
      </c>
      <c r="X51" s="225">
        <f t="shared" si="11"/>
        <v>392</v>
      </c>
      <c r="Y51" s="225">
        <f t="shared" si="11"/>
        <v>390</v>
      </c>
      <c r="Z51" s="225">
        <f t="shared" si="11"/>
        <v>389</v>
      </c>
      <c r="AA51" s="225">
        <f t="shared" si="11"/>
        <v>396.269</v>
      </c>
      <c r="AB51" s="225">
        <f t="shared" si="11"/>
        <v>419.76</v>
      </c>
      <c r="AC51" s="225">
        <f aca="true" t="shared" si="12" ref="AC51:AE52">AC6</f>
        <v>420.341</v>
      </c>
      <c r="AD51" s="225">
        <f t="shared" si="12"/>
        <v>419.822</v>
      </c>
      <c r="AE51" s="225">
        <f t="shared" si="12"/>
        <v>419.822</v>
      </c>
      <c r="AF51" s="225">
        <f aca="true" t="shared" si="13" ref="AF51:AH52">AF6</f>
        <v>439.937</v>
      </c>
      <c r="AG51" s="225">
        <f t="shared" si="13"/>
        <v>448.68</v>
      </c>
      <c r="AH51" s="225">
        <f t="shared" si="13"/>
        <v>449.368</v>
      </c>
      <c r="AI51" s="225">
        <f>AI6</f>
        <v>444.943</v>
      </c>
      <c r="AP51" s="211"/>
    </row>
    <row r="52" spans="1:35" ht="15">
      <c r="A52" s="4"/>
      <c r="B52" s="4"/>
      <c r="C52" s="4" t="s">
        <v>2</v>
      </c>
      <c r="D52" s="4"/>
      <c r="E52" s="4"/>
      <c r="F52" s="14">
        <f t="shared" si="9"/>
        <v>359.3</v>
      </c>
      <c r="G52" s="14">
        <f t="shared" si="9"/>
        <v>362.5</v>
      </c>
      <c r="H52" s="14">
        <f t="shared" si="9"/>
        <v>372.7</v>
      </c>
      <c r="I52" s="14">
        <f t="shared" si="9"/>
        <v>396</v>
      </c>
      <c r="J52" s="14">
        <f t="shared" si="9"/>
        <v>424.8</v>
      </c>
      <c r="K52" s="14">
        <f t="shared" si="9"/>
        <v>440.5</v>
      </c>
      <c r="L52" s="14">
        <f t="shared" si="10"/>
        <v>460.4</v>
      </c>
      <c r="M52" s="14">
        <f t="shared" si="10"/>
        <v>482.59999999999997</v>
      </c>
      <c r="N52" s="14">
        <f t="shared" si="10"/>
        <v>532.1</v>
      </c>
      <c r="O52" s="14">
        <f>O7</f>
        <v>543</v>
      </c>
      <c r="P52" s="227">
        <f t="shared" si="11"/>
        <v>536.8</v>
      </c>
      <c r="Q52" s="227">
        <f t="shared" si="11"/>
        <v>519</v>
      </c>
      <c r="R52" s="225">
        <f t="shared" si="11"/>
        <v>519</v>
      </c>
      <c r="S52" s="225">
        <f t="shared" si="11"/>
        <v>519</v>
      </c>
      <c r="T52" s="225">
        <f t="shared" si="11"/>
        <v>519</v>
      </c>
      <c r="U52" s="225">
        <f t="shared" si="11"/>
        <v>525</v>
      </c>
      <c r="V52" s="225">
        <f t="shared" si="11"/>
        <v>546</v>
      </c>
      <c r="W52" s="225">
        <f t="shared" si="11"/>
        <v>547</v>
      </c>
      <c r="X52" s="225">
        <f t="shared" si="11"/>
        <v>547</v>
      </c>
      <c r="Y52" s="225">
        <f t="shared" si="11"/>
        <v>546</v>
      </c>
      <c r="Z52" s="225">
        <f t="shared" si="11"/>
        <v>544</v>
      </c>
      <c r="AA52" s="225">
        <f t="shared" si="11"/>
        <v>558.289</v>
      </c>
      <c r="AB52" s="225">
        <f t="shared" si="11"/>
        <v>598.625</v>
      </c>
      <c r="AC52" s="225">
        <f t="shared" si="12"/>
        <v>598.97</v>
      </c>
      <c r="AD52" s="225">
        <f t="shared" si="12"/>
        <v>599.603</v>
      </c>
      <c r="AE52" s="225">
        <f t="shared" si="12"/>
        <v>601.124</v>
      </c>
      <c r="AF52" s="225">
        <f t="shared" si="13"/>
        <v>632.489</v>
      </c>
      <c r="AG52" s="225">
        <f t="shared" si="13"/>
        <v>645.178</v>
      </c>
      <c r="AH52" s="225">
        <f t="shared" si="13"/>
        <v>645.094</v>
      </c>
      <c r="AI52" s="225">
        <f>AI7</f>
        <v>650.6959999999999</v>
      </c>
    </row>
    <row r="53" spans="1:35" ht="15">
      <c r="A53" s="4"/>
      <c r="B53" s="63" t="s">
        <v>17</v>
      </c>
      <c r="C53" s="4"/>
      <c r="D53" s="4"/>
      <c r="E53" s="4"/>
      <c r="F53" s="14"/>
      <c r="G53" s="14"/>
      <c r="H53" s="14"/>
      <c r="I53" s="14"/>
      <c r="J53" s="14"/>
      <c r="K53" s="14"/>
      <c r="L53" s="14"/>
      <c r="M53" s="14"/>
      <c r="N53" s="14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</row>
    <row r="54" spans="1:35" ht="18">
      <c r="A54" s="4"/>
      <c r="B54" s="4"/>
      <c r="C54" s="4" t="s">
        <v>136</v>
      </c>
      <c r="D54" s="4"/>
      <c r="E54" s="4"/>
      <c r="F54" s="14">
        <v>804.8</v>
      </c>
      <c r="G54" s="14">
        <v>865.6</v>
      </c>
      <c r="H54" s="14">
        <v>864.4</v>
      </c>
      <c r="I54" s="14">
        <v>861.8</v>
      </c>
      <c r="J54" s="14">
        <v>862.7</v>
      </c>
      <c r="K54" s="14">
        <v>832</v>
      </c>
      <c r="L54" s="14">
        <v>861</v>
      </c>
      <c r="M54" s="14">
        <v>820.5</v>
      </c>
      <c r="N54" s="14">
        <v>772.1</v>
      </c>
      <c r="O54" s="120">
        <v>768</v>
      </c>
      <c r="P54" s="35">
        <f aca="true" t="shared" si="14" ref="P54:AA54">P9+P24</f>
        <v>706.28</v>
      </c>
      <c r="Q54" s="35">
        <f t="shared" si="14"/>
        <v>729.26</v>
      </c>
      <c r="R54" s="35">
        <f t="shared" si="14"/>
        <v>736.98</v>
      </c>
      <c r="S54" s="35">
        <f t="shared" si="14"/>
        <v>730.69</v>
      </c>
      <c r="T54" s="35">
        <f t="shared" si="14"/>
        <v>732.69</v>
      </c>
      <c r="U54" s="35">
        <f t="shared" si="14"/>
        <v>769.49</v>
      </c>
      <c r="V54" s="35">
        <f t="shared" si="14"/>
        <v>772.69</v>
      </c>
      <c r="W54" s="207">
        <f t="shared" si="14"/>
        <v>762.99</v>
      </c>
      <c r="X54" s="225">
        <f t="shared" si="14"/>
        <v>764.3103216077543</v>
      </c>
      <c r="Y54" s="35">
        <f t="shared" si="14"/>
        <v>766.3103216077543</v>
      </c>
      <c r="Z54" s="228">
        <f t="shared" si="14"/>
        <v>752</v>
      </c>
      <c r="AA54" s="225">
        <f t="shared" si="14"/>
        <v>742.27</v>
      </c>
      <c r="AB54" s="225">
        <f aca="true" t="shared" si="15" ref="AB54:AG54">AB9+AB24</f>
        <v>768.3009999999999</v>
      </c>
      <c r="AC54" s="225">
        <f t="shared" si="15"/>
        <v>770.4459999999999</v>
      </c>
      <c r="AD54" s="225">
        <f t="shared" si="15"/>
        <v>775.573</v>
      </c>
      <c r="AE54" s="225">
        <f t="shared" si="15"/>
        <v>775.373</v>
      </c>
      <c r="AF54" s="225">
        <f t="shared" si="15"/>
        <v>776.4949999999999</v>
      </c>
      <c r="AG54" s="225">
        <f t="shared" si="15"/>
        <v>780.9949999999999</v>
      </c>
      <c r="AH54" s="225">
        <f>AH9+AH24</f>
        <v>824.068</v>
      </c>
      <c r="AI54" s="225">
        <f>AI9+AI24</f>
        <v>856.117</v>
      </c>
    </row>
    <row r="55" spans="1:35" ht="18">
      <c r="A55" s="4"/>
      <c r="B55" s="4"/>
      <c r="C55" s="62" t="s">
        <v>137</v>
      </c>
      <c r="D55" s="4"/>
      <c r="E55" s="4"/>
      <c r="F55" s="14">
        <v>27160.3</v>
      </c>
      <c r="G55" s="14">
        <v>27199.1</v>
      </c>
      <c r="H55" s="14">
        <v>27161.2</v>
      </c>
      <c r="I55" s="14">
        <v>27116.7</v>
      </c>
      <c r="J55" s="14">
        <v>27166.2</v>
      </c>
      <c r="K55" s="14">
        <v>27259.55</v>
      </c>
      <c r="L55" s="14">
        <v>27226.2</v>
      </c>
      <c r="M55" s="14">
        <v>27228.7</v>
      </c>
      <c r="N55" s="14">
        <v>27245.1</v>
      </c>
      <c r="O55" s="120">
        <v>27235</v>
      </c>
      <c r="P55" s="35">
        <f aca="true" t="shared" si="16" ref="P55:AC55">P10+P25+P41+P37</f>
        <v>27335.280000000002</v>
      </c>
      <c r="Q55" s="35">
        <f t="shared" si="16"/>
        <v>27269.89</v>
      </c>
      <c r="R55" s="35">
        <f t="shared" si="16"/>
        <v>27290.34</v>
      </c>
      <c r="S55" s="35">
        <f t="shared" si="16"/>
        <v>27316.64</v>
      </c>
      <c r="T55" s="35">
        <f t="shared" si="16"/>
        <v>27310.64</v>
      </c>
      <c r="U55" s="35">
        <f t="shared" si="16"/>
        <v>27331.89</v>
      </c>
      <c r="V55" s="35">
        <f t="shared" si="16"/>
        <v>27390.239999999998</v>
      </c>
      <c r="W55" s="207">
        <f t="shared" si="16"/>
        <v>27333.32</v>
      </c>
      <c r="X55" s="225">
        <f t="shared" si="16"/>
        <v>27633.689678392246</v>
      </c>
      <c r="Y55" s="35">
        <f t="shared" si="16"/>
        <v>27660.989678392245</v>
      </c>
      <c r="Z55" s="228">
        <f t="shared" si="16"/>
        <v>27646</v>
      </c>
      <c r="AA55" s="225">
        <f t="shared" si="16"/>
        <v>27702.72</v>
      </c>
      <c r="AB55" s="225">
        <f t="shared" si="16"/>
        <v>27676.699999999997</v>
      </c>
      <c r="AC55" s="225">
        <f t="shared" si="16"/>
        <v>27666.93</v>
      </c>
      <c r="AD55" s="225">
        <f aca="true" t="shared" si="17" ref="AD55:AI55">AD10+AD25+AD41+AD37</f>
        <v>27639.474</v>
      </c>
      <c r="AE55" s="225">
        <f t="shared" si="17"/>
        <v>27673.569000000003</v>
      </c>
      <c r="AF55" s="225">
        <f t="shared" si="17"/>
        <v>27674.759</v>
      </c>
      <c r="AG55" s="225">
        <f t="shared" si="17"/>
        <v>27667.948999999997</v>
      </c>
      <c r="AH55" s="225">
        <f t="shared" si="17"/>
        <v>27733.285999999996</v>
      </c>
      <c r="AI55" s="225">
        <f t="shared" si="17"/>
        <v>27746.996</v>
      </c>
    </row>
    <row r="56" spans="1:35" s="111" customFormat="1" ht="15.75">
      <c r="A56" s="61"/>
      <c r="B56" s="61"/>
      <c r="C56" s="108" t="s">
        <v>6</v>
      </c>
      <c r="D56" s="61"/>
      <c r="E56" s="61"/>
      <c r="F56" s="14">
        <f aca="true" t="shared" si="18" ref="F56:M56">F26+F37+F41+F12</f>
        <v>27965.699999999997</v>
      </c>
      <c r="G56" s="14">
        <f t="shared" si="18"/>
        <v>28044.7</v>
      </c>
      <c r="H56" s="14">
        <f t="shared" si="18"/>
        <v>28025.5</v>
      </c>
      <c r="I56" s="14">
        <f t="shared" si="18"/>
        <v>27978.5</v>
      </c>
      <c r="J56" s="14">
        <f t="shared" si="18"/>
        <v>28028.850000000002</v>
      </c>
      <c r="K56" s="14">
        <f t="shared" si="18"/>
        <v>28091.55</v>
      </c>
      <c r="L56" s="14">
        <f t="shared" si="18"/>
        <v>28087.2</v>
      </c>
      <c r="M56" s="14">
        <f t="shared" si="18"/>
        <v>28049.2</v>
      </c>
      <c r="N56" s="14">
        <f>N26+N37+N41+N12</f>
        <v>28017.199999999997</v>
      </c>
      <c r="O56" s="14">
        <f>O26+O37+O41+O12</f>
        <v>28002.54</v>
      </c>
      <c r="P56" s="224">
        <f aca="true" t="shared" si="19" ref="P56:U56">P26+P37+P41+P12</f>
        <v>28041.56</v>
      </c>
      <c r="Q56" s="224">
        <f t="shared" si="19"/>
        <v>28095.15</v>
      </c>
      <c r="R56" s="226">
        <f t="shared" si="19"/>
        <v>28126.32</v>
      </c>
      <c r="S56" s="226">
        <f t="shared" si="19"/>
        <v>28147.329999999998</v>
      </c>
      <c r="T56" s="226">
        <f t="shared" si="19"/>
        <v>28144.329999999998</v>
      </c>
      <c r="U56" s="226">
        <f t="shared" si="19"/>
        <v>28206.38</v>
      </c>
      <c r="V56" s="226">
        <f>V26+V37+V41+V12</f>
        <v>28273.93</v>
      </c>
      <c r="W56" s="229">
        <f>W26+W37+W41+W12</f>
        <v>28210.309999999998</v>
      </c>
      <c r="X56" s="226">
        <f>X26+X37+X41+X12</f>
        <v>28512</v>
      </c>
      <c r="Y56" s="226">
        <f aca="true" t="shared" si="20" ref="Y56:AD56">Y12+Y26+Y37+Y41</f>
        <v>28546.3</v>
      </c>
      <c r="Z56" s="226">
        <f t="shared" si="20"/>
        <v>28522</v>
      </c>
      <c r="AA56" s="226">
        <f t="shared" si="20"/>
        <v>28630.203</v>
      </c>
      <c r="AB56" s="226">
        <f t="shared" si="20"/>
        <v>28633.435999999998</v>
      </c>
      <c r="AC56" s="226">
        <f t="shared" si="20"/>
        <v>28628.527</v>
      </c>
      <c r="AD56" s="226">
        <f t="shared" si="20"/>
        <v>28622.581</v>
      </c>
      <c r="AE56" s="226">
        <f>AE12+AE26+AE37+AE41</f>
        <v>28656.476000000002</v>
      </c>
      <c r="AF56" s="226">
        <f>AF12+AF26+AF37+AF41</f>
        <v>28655.724000000002</v>
      </c>
      <c r="AG56" s="226">
        <f>AG12+AG26+AG37+AG41</f>
        <v>28654.123</v>
      </c>
      <c r="AH56" s="226">
        <f>AH12+AH26+AH37+AH41</f>
        <v>28783.833999999995</v>
      </c>
      <c r="AI56" s="226">
        <f>AI12+AI26+AI37+AI41</f>
        <v>28831.575999999997</v>
      </c>
    </row>
    <row r="57" spans="1:35" ht="15">
      <c r="A57" s="4"/>
      <c r="B57" s="4"/>
      <c r="C57" s="63" t="s">
        <v>7</v>
      </c>
      <c r="D57" s="4"/>
      <c r="E57" s="4"/>
      <c r="F57" s="14"/>
      <c r="G57" s="14"/>
      <c r="H57" s="14"/>
      <c r="I57" s="14"/>
      <c r="J57" s="14"/>
      <c r="K57" s="14"/>
      <c r="L57" s="14"/>
      <c r="M57" s="14"/>
      <c r="N57" s="14"/>
      <c r="P57" s="222"/>
      <c r="Q57" s="222"/>
      <c r="R57" s="222"/>
      <c r="S57" s="222"/>
      <c r="T57" s="222"/>
      <c r="U57" s="222"/>
      <c r="V57" s="222"/>
      <c r="W57" s="222"/>
      <c r="X57" s="222"/>
      <c r="AA57" s="194"/>
      <c r="AB57" s="194"/>
      <c r="AC57" s="194"/>
      <c r="AD57" s="194"/>
      <c r="AE57" s="194"/>
      <c r="AF57" s="194"/>
      <c r="AG57" s="194"/>
      <c r="AH57" s="194"/>
      <c r="AI57" s="194"/>
    </row>
    <row r="58" spans="1:35" ht="15">
      <c r="A58" s="4"/>
      <c r="B58" s="4"/>
      <c r="C58" s="4"/>
      <c r="D58" s="4" t="s">
        <v>8</v>
      </c>
      <c r="E58" s="4"/>
      <c r="F58" s="14">
        <f aca="true" t="shared" si="21" ref="F58:AC59">F14+F28+F35+F39</f>
        <v>3245.7</v>
      </c>
      <c r="G58" s="14">
        <f t="shared" si="21"/>
        <v>3301.8</v>
      </c>
      <c r="H58" s="14">
        <f t="shared" si="21"/>
        <v>3281.5</v>
      </c>
      <c r="I58" s="14">
        <f t="shared" si="21"/>
        <v>3325.3</v>
      </c>
      <c r="J58" s="14">
        <f t="shared" si="21"/>
        <v>3404.2999999999997</v>
      </c>
      <c r="K58" s="14">
        <f t="shared" si="21"/>
        <v>3693.75</v>
      </c>
      <c r="L58" s="14">
        <f t="shared" si="21"/>
        <v>3706.3999999999996</v>
      </c>
      <c r="M58" s="14">
        <f t="shared" si="21"/>
        <v>3737</v>
      </c>
      <c r="N58" s="14">
        <f t="shared" si="21"/>
        <v>3792.8999999999996</v>
      </c>
      <c r="O58" s="14">
        <f t="shared" si="21"/>
        <v>3850.42</v>
      </c>
      <c r="P58" s="31">
        <f t="shared" si="21"/>
        <v>3922.3100000000004</v>
      </c>
      <c r="Q58" s="31">
        <f t="shared" si="21"/>
        <v>3955.33</v>
      </c>
      <c r="R58" s="31">
        <f t="shared" si="21"/>
        <v>4004.3100000000004</v>
      </c>
      <c r="S58" s="31">
        <f t="shared" si="21"/>
        <v>4042.05</v>
      </c>
      <c r="T58" s="35">
        <f t="shared" si="21"/>
        <v>4042.05</v>
      </c>
      <c r="U58" s="35">
        <f t="shared" si="21"/>
        <v>4063.58</v>
      </c>
      <c r="V58" s="35">
        <f t="shared" si="21"/>
        <v>4211.52</v>
      </c>
      <c r="W58" s="35">
        <f t="shared" si="21"/>
        <v>4138.27</v>
      </c>
      <c r="X58" s="35">
        <f t="shared" si="21"/>
        <v>4494</v>
      </c>
      <c r="Y58" s="35">
        <f t="shared" si="21"/>
        <v>4465.41</v>
      </c>
      <c r="Z58" s="35">
        <f t="shared" si="21"/>
        <v>4467</v>
      </c>
      <c r="AA58" s="35">
        <f t="shared" si="21"/>
        <v>4564.7</v>
      </c>
      <c r="AB58" s="35">
        <f t="shared" si="21"/>
        <v>4583.709999999999</v>
      </c>
      <c r="AC58" s="35">
        <f t="shared" si="21"/>
        <v>4595.3</v>
      </c>
      <c r="AD58" s="35">
        <f aca="true" t="shared" si="22" ref="AD58:AF59">AD14+AD28+AD35+AD39</f>
        <v>4707.858</v>
      </c>
      <c r="AE58" s="35">
        <f t="shared" si="22"/>
        <v>4742.709</v>
      </c>
      <c r="AF58" s="35">
        <f t="shared" si="22"/>
        <v>4763.209</v>
      </c>
      <c r="AG58" s="35">
        <f aca="true" t="shared" si="23" ref="AG58:AI59">AG14+AG28+AG35+AG39</f>
        <v>4782.909</v>
      </c>
      <c r="AH58" s="35">
        <f t="shared" si="23"/>
        <v>4838.965</v>
      </c>
      <c r="AI58" s="35">
        <f t="shared" si="23"/>
        <v>4875.215</v>
      </c>
    </row>
    <row r="59" spans="1:35" ht="15">
      <c r="A59" s="4"/>
      <c r="B59" s="4"/>
      <c r="C59" s="4"/>
      <c r="D59" s="4" t="s">
        <v>9</v>
      </c>
      <c r="E59" s="4"/>
      <c r="F59" s="14">
        <f t="shared" si="21"/>
        <v>24720</v>
      </c>
      <c r="G59" s="14">
        <f t="shared" si="21"/>
        <v>24762.9</v>
      </c>
      <c r="H59" s="14">
        <f t="shared" si="21"/>
        <v>24744.1</v>
      </c>
      <c r="I59" s="14">
        <f t="shared" si="21"/>
        <v>24653.199999999997</v>
      </c>
      <c r="J59" s="14">
        <f t="shared" si="21"/>
        <v>24624.6</v>
      </c>
      <c r="K59" s="14">
        <f t="shared" si="21"/>
        <v>24397.8</v>
      </c>
      <c r="L59" s="14">
        <f t="shared" si="21"/>
        <v>24380.800000000003</v>
      </c>
      <c r="M59" s="14">
        <f t="shared" si="21"/>
        <v>24312.2</v>
      </c>
      <c r="N59" s="14">
        <f t="shared" si="21"/>
        <v>24224.300000000003</v>
      </c>
      <c r="O59" s="14">
        <f t="shared" si="21"/>
        <v>24152.120000000003</v>
      </c>
      <c r="P59" s="31">
        <f t="shared" si="21"/>
        <v>24119.25</v>
      </c>
      <c r="Q59" s="31">
        <f t="shared" si="21"/>
        <v>24139.84</v>
      </c>
      <c r="R59" s="31">
        <f t="shared" si="21"/>
        <v>24123.29</v>
      </c>
      <c r="S59" s="31">
        <f t="shared" si="21"/>
        <v>24105.28</v>
      </c>
      <c r="T59" s="35">
        <f t="shared" si="21"/>
        <v>24102.28</v>
      </c>
      <c r="U59" s="35">
        <f t="shared" si="21"/>
        <v>24142.800000000003</v>
      </c>
      <c r="V59" s="35">
        <f t="shared" si="21"/>
        <v>24062.41</v>
      </c>
      <c r="W59" s="35">
        <f t="shared" si="21"/>
        <v>24073.04</v>
      </c>
      <c r="X59" s="35">
        <f t="shared" si="21"/>
        <v>24019</v>
      </c>
      <c r="Y59" s="35">
        <f t="shared" si="21"/>
        <v>24080.809999999998</v>
      </c>
      <c r="Z59" s="35">
        <f t="shared" si="21"/>
        <v>24054</v>
      </c>
      <c r="AA59" s="35">
        <f t="shared" si="21"/>
        <v>24623.8</v>
      </c>
      <c r="AB59" s="35">
        <f t="shared" si="21"/>
        <v>24648.339999999997</v>
      </c>
      <c r="AC59" s="35">
        <f t="shared" si="21"/>
        <v>24632.199999999997</v>
      </c>
      <c r="AD59" s="35">
        <f t="shared" si="22"/>
        <v>24515.386</v>
      </c>
      <c r="AE59" s="35">
        <f t="shared" si="22"/>
        <v>24514.530000000002</v>
      </c>
      <c r="AF59" s="35">
        <f t="shared" si="22"/>
        <v>24525.03</v>
      </c>
      <c r="AG59" s="35">
        <f t="shared" si="23"/>
        <v>24516.429999999997</v>
      </c>
      <c r="AH59" s="35">
        <f t="shared" si="23"/>
        <v>24590.000999999997</v>
      </c>
      <c r="AI59" s="35">
        <f t="shared" si="23"/>
        <v>24607.101</v>
      </c>
    </row>
    <row r="60" spans="1:35" ht="15">
      <c r="A60" s="4"/>
      <c r="B60" s="4" t="s">
        <v>15</v>
      </c>
      <c r="C60" s="4"/>
      <c r="D60" s="4"/>
      <c r="E60" s="4"/>
      <c r="F60" s="14"/>
      <c r="G60" s="14"/>
      <c r="H60" s="14"/>
      <c r="I60" s="14"/>
      <c r="J60" s="14"/>
      <c r="K60" s="14"/>
      <c r="L60" s="14"/>
      <c r="M60" s="14"/>
      <c r="N60" s="14"/>
      <c r="P60" s="31"/>
      <c r="Q60" s="31"/>
      <c r="R60" s="31"/>
      <c r="T60" s="194"/>
      <c r="U60" s="194"/>
      <c r="V60" s="194"/>
      <c r="W60" s="194"/>
      <c r="AA60" s="194"/>
      <c r="AB60" s="194"/>
      <c r="AC60" s="194"/>
      <c r="AD60" s="194"/>
      <c r="AE60" s="194"/>
      <c r="AF60" s="194"/>
      <c r="AG60" s="194"/>
      <c r="AH60" s="194"/>
      <c r="AI60" s="194"/>
    </row>
    <row r="61" spans="1:35" ht="15">
      <c r="A61" s="4"/>
      <c r="B61" s="4"/>
      <c r="C61" s="62" t="s">
        <v>11</v>
      </c>
      <c r="D61" s="4"/>
      <c r="E61" s="4"/>
      <c r="F61" s="14">
        <v>11432.2</v>
      </c>
      <c r="G61" s="14">
        <v>11542</v>
      </c>
      <c r="H61" s="14">
        <v>11623.3</v>
      </c>
      <c r="I61" s="14">
        <v>11723.2</v>
      </c>
      <c r="J61" s="14">
        <v>12232</v>
      </c>
      <c r="K61" s="14">
        <v>12597.51</v>
      </c>
      <c r="L61" s="14">
        <v>12693</v>
      </c>
      <c r="M61" s="14">
        <f aca="true" t="shared" si="24" ref="M61:AD63">M43</f>
        <v>13124</v>
      </c>
      <c r="N61" s="14">
        <f t="shared" si="24"/>
        <v>13318.6</v>
      </c>
      <c r="O61" s="14">
        <f t="shared" si="24"/>
        <v>13477.68</v>
      </c>
      <c r="P61" s="31">
        <f t="shared" si="24"/>
        <v>13584.53</v>
      </c>
      <c r="Q61" s="31">
        <f t="shared" si="24"/>
        <v>13714.27</v>
      </c>
      <c r="R61" s="31">
        <f t="shared" si="24"/>
        <v>14224.65</v>
      </c>
      <c r="S61" s="31">
        <f t="shared" si="24"/>
        <v>14175.720000000001</v>
      </c>
      <c r="T61" s="35">
        <f t="shared" si="24"/>
        <v>14210.12</v>
      </c>
      <c r="U61" s="35">
        <f t="shared" si="24"/>
        <v>14399.24</v>
      </c>
      <c r="V61" s="35">
        <f t="shared" si="24"/>
        <v>14465.12</v>
      </c>
      <c r="W61" s="35">
        <f t="shared" si="24"/>
        <v>14767.61</v>
      </c>
      <c r="X61" s="35">
        <f t="shared" si="24"/>
        <v>14572.6</v>
      </c>
      <c r="Y61" s="35">
        <f t="shared" si="24"/>
        <v>14714.41</v>
      </c>
      <c r="Z61" s="35">
        <f t="shared" si="24"/>
        <v>14827.6</v>
      </c>
      <c r="AA61" s="35">
        <f t="shared" si="24"/>
        <v>14856.046000000004</v>
      </c>
      <c r="AB61" s="35">
        <f t="shared" si="24"/>
        <v>14947.670000000004</v>
      </c>
      <c r="AC61" s="35">
        <f t="shared" si="24"/>
        <v>15020.2</v>
      </c>
      <c r="AD61" s="35">
        <f t="shared" si="24"/>
        <v>15097.241000000002</v>
      </c>
      <c r="AE61" s="35">
        <f aca="true" t="shared" si="25" ref="AE61:AF63">AE43</f>
        <v>15198.185000000003</v>
      </c>
      <c r="AF61" s="35">
        <f t="shared" si="25"/>
        <v>15273.495000000004</v>
      </c>
      <c r="AG61" s="35">
        <f aca="true" t="shared" si="26" ref="AG61:AH63">AG43</f>
        <v>15378.908000000001</v>
      </c>
      <c r="AH61" s="35">
        <f t="shared" si="26"/>
        <v>15464.568000000005</v>
      </c>
      <c r="AI61" s="35">
        <f>AI43</f>
        <v>15560.960000000001</v>
      </c>
    </row>
    <row r="62" spans="1:35" ht="15">
      <c r="A62" s="4"/>
      <c r="B62" s="4"/>
      <c r="C62" s="62" t="s">
        <v>12</v>
      </c>
      <c r="D62" s="4"/>
      <c r="E62" s="4"/>
      <c r="F62" s="14">
        <v>11944.4</v>
      </c>
      <c r="G62" s="14">
        <v>11974</v>
      </c>
      <c r="H62" s="14">
        <v>12027.6</v>
      </c>
      <c r="I62" s="14">
        <v>12037</v>
      </c>
      <c r="J62" s="14">
        <v>11660</v>
      </c>
      <c r="K62" s="14">
        <v>11672.2</v>
      </c>
      <c r="L62" s="14">
        <v>11837.2</v>
      </c>
      <c r="M62" s="14">
        <f t="shared" si="24"/>
        <v>11491.2</v>
      </c>
      <c r="N62" s="14">
        <f t="shared" si="24"/>
        <v>11454.5</v>
      </c>
      <c r="O62" s="14">
        <f t="shared" si="24"/>
        <v>11497.32</v>
      </c>
      <c r="P62" s="31">
        <f t="shared" si="24"/>
        <v>11720.6</v>
      </c>
      <c r="Q62" s="31">
        <f t="shared" si="24"/>
        <v>11726.85</v>
      </c>
      <c r="R62" s="31">
        <f t="shared" si="24"/>
        <v>11719.5</v>
      </c>
      <c r="S62" s="31">
        <f t="shared" si="24"/>
        <v>11717.24</v>
      </c>
      <c r="T62" s="35">
        <f t="shared" si="24"/>
        <v>11717.04</v>
      </c>
      <c r="U62" s="35">
        <f t="shared" si="24"/>
        <v>11715.939999999999</v>
      </c>
      <c r="V62" s="35">
        <f t="shared" si="24"/>
        <v>11683.34</v>
      </c>
      <c r="W62" s="35">
        <f t="shared" si="24"/>
        <v>11660.97</v>
      </c>
      <c r="X62" s="35">
        <f>X44</f>
        <v>11712</v>
      </c>
      <c r="Y62" s="35">
        <f t="shared" si="24"/>
        <v>11725.64</v>
      </c>
      <c r="Z62" s="35">
        <f t="shared" si="24"/>
        <v>11732</v>
      </c>
      <c r="AA62" s="35">
        <f t="shared" si="24"/>
        <v>11727.229000000001</v>
      </c>
      <c r="AB62" s="35">
        <f t="shared" si="24"/>
        <v>11732.270000000002</v>
      </c>
      <c r="AC62" s="35">
        <f t="shared" si="24"/>
        <v>11727.7</v>
      </c>
      <c r="AD62" s="35">
        <f t="shared" si="24"/>
        <v>11734.803</v>
      </c>
      <c r="AE62" s="35">
        <f t="shared" si="25"/>
        <v>11696.373000000003</v>
      </c>
      <c r="AF62" s="35">
        <f t="shared" si="25"/>
        <v>11688.073</v>
      </c>
      <c r="AG62" s="35">
        <f t="shared" si="26"/>
        <v>11686.073</v>
      </c>
      <c r="AH62" s="35">
        <f t="shared" si="26"/>
        <v>11697.066</v>
      </c>
      <c r="AI62" s="35">
        <f>AI44</f>
        <v>11678.966</v>
      </c>
    </row>
    <row r="63" spans="1:35" s="111" customFormat="1" ht="15.75">
      <c r="A63" s="61"/>
      <c r="B63" s="61"/>
      <c r="C63" s="61" t="s">
        <v>6</v>
      </c>
      <c r="D63" s="61"/>
      <c r="E63" s="61"/>
      <c r="F63" s="14">
        <v>23377.2</v>
      </c>
      <c r="G63" s="14">
        <v>23516</v>
      </c>
      <c r="H63" s="14">
        <v>23650.9</v>
      </c>
      <c r="I63" s="14">
        <v>23760.2</v>
      </c>
      <c r="J63" s="14">
        <v>23892</v>
      </c>
      <c r="K63" s="14">
        <v>24269.71</v>
      </c>
      <c r="L63" s="14">
        <v>24530.2</v>
      </c>
      <c r="M63" s="14">
        <f t="shared" si="24"/>
        <v>24617.6</v>
      </c>
      <c r="N63" s="14">
        <f t="shared" si="24"/>
        <v>24775.5</v>
      </c>
      <c r="O63" s="14">
        <f t="shared" si="24"/>
        <v>24975</v>
      </c>
      <c r="P63" s="224">
        <f t="shared" si="24"/>
        <v>25305.13</v>
      </c>
      <c r="Q63" s="224">
        <f t="shared" si="24"/>
        <v>25441.120000000003</v>
      </c>
      <c r="R63" s="224">
        <f t="shared" si="24"/>
        <v>25944.15</v>
      </c>
      <c r="S63" s="224">
        <f t="shared" si="24"/>
        <v>25892.96</v>
      </c>
      <c r="T63" s="226">
        <f t="shared" si="24"/>
        <v>25927.160000000003</v>
      </c>
      <c r="U63" s="226">
        <f t="shared" si="24"/>
        <v>26115.18</v>
      </c>
      <c r="V63" s="226">
        <f t="shared" si="24"/>
        <v>26148.46</v>
      </c>
      <c r="W63" s="226">
        <f t="shared" si="24"/>
        <v>26428.58</v>
      </c>
      <c r="X63" s="226">
        <f>X45</f>
        <v>26284.6</v>
      </c>
      <c r="Y63" s="226">
        <f t="shared" si="24"/>
        <v>26440.05</v>
      </c>
      <c r="Z63" s="226">
        <f t="shared" si="24"/>
        <v>26559.6</v>
      </c>
      <c r="AA63" s="226">
        <f t="shared" si="24"/>
        <v>26583.275000000005</v>
      </c>
      <c r="AB63" s="226">
        <f t="shared" si="24"/>
        <v>26679.940000000006</v>
      </c>
      <c r="AC63" s="226">
        <f t="shared" si="24"/>
        <v>26747.9</v>
      </c>
      <c r="AD63" s="226">
        <f t="shared" si="24"/>
        <v>26832.044</v>
      </c>
      <c r="AE63" s="226">
        <f t="shared" si="25"/>
        <v>26894.558000000005</v>
      </c>
      <c r="AF63" s="226">
        <f t="shared" si="25"/>
        <v>26961.568000000007</v>
      </c>
      <c r="AG63" s="226">
        <f t="shared" si="26"/>
        <v>27064.981</v>
      </c>
      <c r="AH63" s="226">
        <f t="shared" si="26"/>
        <v>27161.634000000005</v>
      </c>
      <c r="AI63" s="226">
        <f>AI45</f>
        <v>27239.926</v>
      </c>
    </row>
    <row r="64" spans="1:23" ht="6" customHeight="1">
      <c r="A64" s="4"/>
      <c r="B64" s="4"/>
      <c r="C64" s="4"/>
      <c r="D64" s="4"/>
      <c r="E64" s="4"/>
      <c r="F64" s="14"/>
      <c r="G64" s="14"/>
      <c r="H64" s="14"/>
      <c r="I64" s="14"/>
      <c r="J64" s="14"/>
      <c r="K64" s="14"/>
      <c r="L64" s="14"/>
      <c r="M64" s="14"/>
      <c r="N64" s="14"/>
      <c r="P64" s="31"/>
      <c r="Q64" s="31"/>
      <c r="R64" s="31"/>
      <c r="T64" s="194"/>
      <c r="U64" s="194"/>
      <c r="V64" s="194"/>
      <c r="W64" s="194"/>
    </row>
    <row r="65" spans="1:36" ht="19.5" thickBot="1">
      <c r="A65" s="70"/>
      <c r="B65" s="112" t="s">
        <v>162</v>
      </c>
      <c r="C65" s="98"/>
      <c r="D65" s="98"/>
      <c r="E65" s="98"/>
      <c r="F65" s="122">
        <v>51702.2</v>
      </c>
      <c r="G65" s="122">
        <v>51923.2</v>
      </c>
      <c r="H65" s="122">
        <v>52049.1</v>
      </c>
      <c r="I65" s="122">
        <v>52134.7</v>
      </c>
      <c r="J65" s="122">
        <v>52345.65</v>
      </c>
      <c r="K65" s="122">
        <v>52801.76</v>
      </c>
      <c r="L65" s="122">
        <v>53077.8</v>
      </c>
      <c r="M65" s="122">
        <v>53149.3</v>
      </c>
      <c r="N65" s="122">
        <v>53324.6</v>
      </c>
      <c r="O65" s="122">
        <f>O63+O56+O52</f>
        <v>53520.54</v>
      </c>
      <c r="P65" s="230">
        <f aca="true" t="shared" si="27" ref="P65:X65">P63+P56+P52</f>
        <v>53883.490000000005</v>
      </c>
      <c r="Q65" s="230">
        <f t="shared" si="27"/>
        <v>54055.270000000004</v>
      </c>
      <c r="R65" s="230">
        <f t="shared" si="27"/>
        <v>54589.47</v>
      </c>
      <c r="S65" s="230">
        <f t="shared" si="27"/>
        <v>54559.28999999999</v>
      </c>
      <c r="T65" s="231">
        <f t="shared" si="27"/>
        <v>54590.490000000005</v>
      </c>
      <c r="U65" s="231">
        <f t="shared" si="27"/>
        <v>54846.56</v>
      </c>
      <c r="V65" s="231">
        <f t="shared" si="27"/>
        <v>54968.39</v>
      </c>
      <c r="W65" s="231">
        <f t="shared" si="27"/>
        <v>55185.89</v>
      </c>
      <c r="X65" s="231">
        <f t="shared" si="27"/>
        <v>55343.6</v>
      </c>
      <c r="Y65" s="231">
        <f aca="true" t="shared" si="28" ref="Y65:AD65">Y17+Y31+Y47</f>
        <v>55532.27</v>
      </c>
      <c r="Z65" s="231">
        <f t="shared" si="28"/>
        <v>55625.6</v>
      </c>
      <c r="AA65" s="231">
        <f t="shared" si="28"/>
        <v>55771.76700000001</v>
      </c>
      <c r="AB65" s="231">
        <f t="shared" si="28"/>
        <v>55912.001000000004</v>
      </c>
      <c r="AC65" s="231">
        <f t="shared" si="28"/>
        <v>55975.397</v>
      </c>
      <c r="AD65" s="231">
        <f t="shared" si="28"/>
        <v>56054.228</v>
      </c>
      <c r="AE65" s="231">
        <f>AE17+AE31+AE47</f>
        <v>56152.15800000001</v>
      </c>
      <c r="AF65" s="231">
        <f>AF17+AF31+AF47</f>
        <v>56249.781</v>
      </c>
      <c r="AG65" s="231">
        <f>AG17+AG31+AG47</f>
        <v>56364.28199999999</v>
      </c>
      <c r="AH65" s="231">
        <f>AH17+AH31+AH47</f>
        <v>56590.562000000005</v>
      </c>
      <c r="AI65" s="231">
        <f>AI17+AI31+AI47</f>
        <v>56722.198</v>
      </c>
      <c r="AJ65" s="223"/>
    </row>
    <row r="66" spans="16:26" ht="8.25" customHeight="1">
      <c r="P66" s="232" t="str">
        <f>IF(ABS(P65-(P52+P56+P63))&gt;comments!$A$1,P65-(P52+P56+P63)," ")</f>
        <v> </v>
      </c>
      <c r="Q66" s="232" t="str">
        <f>IF(ABS(Q65-(Q52+Q56+Q63))&gt;comments!$A$1,Q65-(Q52+Q56+Q63)," ")</f>
        <v> </v>
      </c>
      <c r="R66" s="232" t="str">
        <f>IF(ABS(R65-(R52+R56+R63))&gt;comments!$A$1,R65-(R52+R56+R63)," ")</f>
        <v> </v>
      </c>
      <c r="S66" s="232" t="str">
        <f>IF(ABS(S65-(S52+S56+S63))&gt;comments!$A$1,S65-(S52+S56+S63)," ")</f>
        <v> </v>
      </c>
      <c r="T66" s="232" t="str">
        <f>IF(ABS(T65-(T52+T56+T63))&gt;comments!$A$1,T65-(T52+T56+T63)," ")</f>
        <v> </v>
      </c>
      <c r="U66" s="232" t="str">
        <f>IF(ABS(U65-(U52+U56+U63))&gt;comments!$A$1,U65-(U52+U56+U63)," ")</f>
        <v> </v>
      </c>
      <c r="V66" s="232" t="str">
        <f>IF(ABS(V65-(V52+V56+V63))&gt;comments!$A$1,V65-(V52+V56+V63)," ")</f>
        <v> </v>
      </c>
      <c r="W66" s="232" t="str">
        <f>IF(ABS(W65-(W52+W56+W63))&gt;comments!$A$1,W65-(W52+W56+W63)," ")</f>
        <v> </v>
      </c>
      <c r="X66" s="232" t="str">
        <f>IF(ABS(X65-(X52+X56+X63))&gt;comments!$A$1,X65-(X52+X56+X63)," ")</f>
        <v> </v>
      </c>
      <c r="Y66" s="232" t="str">
        <f>IF(ABS(Y65-(Y52+Y56+Y63))&gt;comments!$A$1,Y65-(Y52+Y56+Y63)," ")</f>
        <v> </v>
      </c>
      <c r="Z66" s="232" t="str">
        <f>IF(ABS(Z65-(Z52+Z56+Z63))&gt;comments!$A$1,Z65-(Z52+Z56+Z63)," ")</f>
        <v> </v>
      </c>
    </row>
    <row r="67" spans="1:26" ht="16.5" customHeight="1">
      <c r="A67" s="133" t="s">
        <v>125</v>
      </c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</row>
    <row r="68" ht="12.75">
      <c r="B68" s="133" t="s">
        <v>144</v>
      </c>
    </row>
    <row r="69" ht="12.75">
      <c r="B69" s="133" t="s">
        <v>128</v>
      </c>
    </row>
    <row r="70" ht="12" customHeight="1">
      <c r="B70" s="233" t="s">
        <v>159</v>
      </c>
    </row>
    <row r="71" ht="10.5" customHeight="1">
      <c r="B71" s="182" t="s">
        <v>206</v>
      </c>
    </row>
    <row r="72" ht="12" customHeight="1">
      <c r="B72" s="182" t="s">
        <v>207</v>
      </c>
    </row>
    <row r="73" ht="12.75">
      <c r="B73" s="133" t="s">
        <v>127</v>
      </c>
    </row>
    <row r="74" ht="12.75">
      <c r="B74" s="133" t="s">
        <v>149</v>
      </c>
    </row>
    <row r="75" ht="12.75">
      <c r="B75" s="133" t="s">
        <v>173</v>
      </c>
    </row>
    <row r="76" ht="12.75">
      <c r="B76" s="133" t="s">
        <v>177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62" r:id="rId1"/>
  <headerFooter alignWithMargins="0">
    <oddHeader>&amp;R&amp;"Arial,Bold"&amp;17ROAD NETWORK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7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4.8515625" style="133" customWidth="1"/>
    <col min="2" max="2" width="13.28125" style="133" customWidth="1"/>
    <col min="3" max="3" width="12.28125" style="133" customWidth="1"/>
    <col min="4" max="4" width="11.00390625" style="133" customWidth="1"/>
    <col min="5" max="5" width="9.57421875" style="133" customWidth="1"/>
    <col min="6" max="6" width="1.57421875" style="133" customWidth="1"/>
    <col min="7" max="7" width="9.28125" style="133" customWidth="1"/>
    <col min="8" max="8" width="10.28125" style="133" customWidth="1"/>
    <col min="9" max="9" width="9.8515625" style="133" customWidth="1"/>
    <col min="10" max="10" width="10.421875" style="133" customWidth="1"/>
    <col min="11" max="11" width="10.140625" style="133" customWidth="1"/>
    <col min="12" max="12" width="12.421875" style="133" customWidth="1"/>
    <col min="13" max="13" width="9.140625" style="133" customWidth="1"/>
    <col min="14" max="14" width="15.28125" style="133" customWidth="1"/>
    <col min="15" max="17" width="9.140625" style="133" customWidth="1"/>
    <col min="18" max="18" width="21.57421875" style="133" customWidth="1"/>
    <col min="19" max="16384" width="9.140625" style="133" customWidth="1"/>
  </cols>
  <sheetData>
    <row r="1" spans="1:13" s="4" customFormat="1" ht="24.75" customHeight="1">
      <c r="A1" s="69" t="s">
        <v>230</v>
      </c>
      <c r="B1" s="68"/>
      <c r="C1" s="22"/>
      <c r="D1" s="22"/>
      <c r="E1" s="68"/>
      <c r="F1" s="22"/>
      <c r="G1" s="22"/>
      <c r="H1" s="22"/>
      <c r="I1" s="22"/>
      <c r="J1" s="22"/>
      <c r="K1" s="22"/>
      <c r="L1" s="22"/>
      <c r="M1" s="22"/>
    </row>
    <row r="2" spans="1:238" s="4" customFormat="1" ht="18.75">
      <c r="A2" s="71" t="s">
        <v>18</v>
      </c>
      <c r="B2" s="72" t="s">
        <v>168</v>
      </c>
      <c r="C2" s="72"/>
      <c r="D2" s="72"/>
      <c r="E2" s="72"/>
      <c r="F2" s="71"/>
      <c r="G2" s="72" t="s">
        <v>178</v>
      </c>
      <c r="H2" s="72"/>
      <c r="I2" s="72"/>
      <c r="J2" s="72"/>
      <c r="K2" s="72"/>
      <c r="L2" s="73" t="s">
        <v>6</v>
      </c>
      <c r="M2" s="20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</row>
    <row r="3" spans="1:238" ht="17.25" customHeight="1">
      <c r="A3" s="135"/>
      <c r="B3" s="21" t="s">
        <v>129</v>
      </c>
      <c r="C3" s="21" t="s">
        <v>19</v>
      </c>
      <c r="D3" s="21" t="s">
        <v>20</v>
      </c>
      <c r="E3" s="21" t="s">
        <v>6</v>
      </c>
      <c r="F3" s="21"/>
      <c r="G3" s="21" t="s">
        <v>82</v>
      </c>
      <c r="H3" s="21" t="s">
        <v>84</v>
      </c>
      <c r="I3" s="21" t="s">
        <v>81</v>
      </c>
      <c r="J3" s="21" t="s">
        <v>96</v>
      </c>
      <c r="K3" s="21" t="s">
        <v>6</v>
      </c>
      <c r="L3" s="22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</row>
    <row r="4" spans="1:12" ht="15.75">
      <c r="A4" s="74"/>
      <c r="B4" s="79"/>
      <c r="C4" s="79" t="s">
        <v>21</v>
      </c>
      <c r="D4" s="79"/>
      <c r="E4" s="79"/>
      <c r="F4" s="79"/>
      <c r="G4" s="79" t="s">
        <v>83</v>
      </c>
      <c r="H4" s="79" t="s">
        <v>83</v>
      </c>
      <c r="I4" s="79" t="s">
        <v>83</v>
      </c>
      <c r="J4" s="79" t="s">
        <v>97</v>
      </c>
      <c r="K4" s="79"/>
      <c r="L4" s="70"/>
    </row>
    <row r="5" spans="2:25" ht="15">
      <c r="B5" s="249"/>
      <c r="C5" s="249"/>
      <c r="D5" s="16"/>
      <c r="E5" s="16"/>
      <c r="F5" s="4"/>
      <c r="G5" s="4"/>
      <c r="H5" s="4"/>
      <c r="I5" s="4"/>
      <c r="J5" s="4"/>
      <c r="K5" s="4"/>
      <c r="L5" s="28" t="s">
        <v>22</v>
      </c>
      <c r="N5" s="188"/>
      <c r="O5" s="4"/>
      <c r="P5" s="24"/>
      <c r="Q5" s="24"/>
      <c r="R5" s="4"/>
      <c r="S5" s="29"/>
      <c r="T5" s="29"/>
      <c r="U5" s="202"/>
      <c r="V5" s="129"/>
      <c r="W5" s="4"/>
      <c r="X5" s="4"/>
      <c r="Y5" s="4"/>
    </row>
    <row r="6" spans="1:26" s="4" customFormat="1" ht="15">
      <c r="A6" s="16" t="s">
        <v>23</v>
      </c>
      <c r="B6" s="210">
        <v>0</v>
      </c>
      <c r="C6" s="210">
        <v>0</v>
      </c>
      <c r="D6" s="210">
        <v>35.656</v>
      </c>
      <c r="E6" s="210">
        <f aca="true" t="shared" si="0" ref="E6:E35">SUM(B6:D6)</f>
        <v>35.656</v>
      </c>
      <c r="F6" s="30" t="s">
        <v>116</v>
      </c>
      <c r="G6" s="208">
        <v>129.45</v>
      </c>
      <c r="H6" s="208">
        <v>42.2</v>
      </c>
      <c r="I6" s="208">
        <v>95.55</v>
      </c>
      <c r="J6" s="208">
        <v>730.2</v>
      </c>
      <c r="K6" s="208">
        <f aca="true" t="shared" si="1" ref="K6:K37">SUM(G6:J6)</f>
        <v>997.4000000000001</v>
      </c>
      <c r="L6" s="29">
        <f aca="true" t="shared" si="2" ref="L6:L37">E6+K6</f>
        <v>1033.056</v>
      </c>
      <c r="M6" s="250"/>
      <c r="N6" s="133"/>
      <c r="P6" s="251"/>
      <c r="Q6" s="24"/>
      <c r="S6" s="29"/>
      <c r="T6" s="29"/>
      <c r="U6" s="202"/>
      <c r="V6" s="129"/>
      <c r="W6" s="209"/>
      <c r="Z6" s="29"/>
    </row>
    <row r="7" spans="1:26" s="4" customFormat="1" ht="15">
      <c r="A7" s="16" t="s">
        <v>24</v>
      </c>
      <c r="B7" s="210">
        <v>0</v>
      </c>
      <c r="C7" s="210">
        <v>0</v>
      </c>
      <c r="D7" s="210">
        <v>235.82600000000002</v>
      </c>
      <c r="E7" s="210">
        <f t="shared" si="0"/>
        <v>235.82600000000002</v>
      </c>
      <c r="F7" s="30" t="s">
        <v>116</v>
      </c>
      <c r="G7" s="208">
        <v>687.7</v>
      </c>
      <c r="H7" s="208">
        <v>814.2</v>
      </c>
      <c r="I7" s="208">
        <v>1547.7</v>
      </c>
      <c r="J7" s="208">
        <v>2514.982</v>
      </c>
      <c r="K7" s="208">
        <f t="shared" si="1"/>
        <v>5564.582</v>
      </c>
      <c r="L7" s="29">
        <f t="shared" si="2"/>
        <v>5800.408</v>
      </c>
      <c r="M7" s="250"/>
      <c r="N7" s="133"/>
      <c r="P7" s="251"/>
      <c r="Q7" s="24"/>
      <c r="S7" s="29"/>
      <c r="T7" s="29"/>
      <c r="U7" s="202"/>
      <c r="V7" s="129"/>
      <c r="W7" s="209"/>
      <c r="Z7" s="29"/>
    </row>
    <row r="8" spans="1:26" s="4" customFormat="1" ht="15">
      <c r="A8" s="16" t="s">
        <v>25</v>
      </c>
      <c r="B8" s="210">
        <v>0</v>
      </c>
      <c r="C8" s="210">
        <v>0</v>
      </c>
      <c r="D8" s="210">
        <v>54.573</v>
      </c>
      <c r="E8" s="210">
        <f t="shared" si="0"/>
        <v>54.573</v>
      </c>
      <c r="F8" s="30"/>
      <c r="G8" s="208">
        <v>192.5</v>
      </c>
      <c r="H8" s="208">
        <v>254.7</v>
      </c>
      <c r="I8" s="208">
        <v>488.6</v>
      </c>
      <c r="J8" s="208">
        <v>882.8</v>
      </c>
      <c r="K8" s="208">
        <f t="shared" si="1"/>
        <v>1818.6</v>
      </c>
      <c r="L8" s="29">
        <f t="shared" si="2"/>
        <v>1873.173</v>
      </c>
      <c r="M8" s="250"/>
      <c r="N8" s="133"/>
      <c r="P8" s="251"/>
      <c r="Q8" s="24"/>
      <c r="S8" s="29"/>
      <c r="T8" s="29"/>
      <c r="U8" s="202"/>
      <c r="V8" s="129"/>
      <c r="W8" s="209"/>
      <c r="Z8" s="29"/>
    </row>
    <row r="9" spans="1:26" s="4" customFormat="1" ht="15">
      <c r="A9" s="16" t="s">
        <v>26</v>
      </c>
      <c r="B9" s="210">
        <v>0</v>
      </c>
      <c r="C9" s="210">
        <v>0</v>
      </c>
      <c r="D9" s="210">
        <v>296.274</v>
      </c>
      <c r="E9" s="210">
        <f t="shared" si="0"/>
        <v>296.274</v>
      </c>
      <c r="F9" s="30"/>
      <c r="G9" s="208">
        <v>505.3</v>
      </c>
      <c r="H9" s="208">
        <v>613.5</v>
      </c>
      <c r="I9" s="208">
        <v>434.2</v>
      </c>
      <c r="J9" s="208">
        <v>733.3</v>
      </c>
      <c r="K9" s="208">
        <f t="shared" si="1"/>
        <v>2286.3</v>
      </c>
      <c r="L9" s="29">
        <f t="shared" si="2"/>
        <v>2582.574</v>
      </c>
      <c r="M9" s="250"/>
      <c r="N9" s="133"/>
      <c r="P9" s="251"/>
      <c r="S9" s="29"/>
      <c r="T9" s="29"/>
      <c r="U9" s="202"/>
      <c r="V9" s="129"/>
      <c r="W9" s="209"/>
      <c r="Z9" s="29"/>
    </row>
    <row r="10" spans="1:26" s="4" customFormat="1" ht="15">
      <c r="A10" s="16" t="s">
        <v>28</v>
      </c>
      <c r="B10" s="210">
        <v>0</v>
      </c>
      <c r="C10" s="210">
        <v>0</v>
      </c>
      <c r="D10" s="210">
        <v>2.916</v>
      </c>
      <c r="E10" s="210">
        <f t="shared" si="0"/>
        <v>2.916</v>
      </c>
      <c r="F10" s="30"/>
      <c r="G10" s="208">
        <v>49.3</v>
      </c>
      <c r="H10" s="208">
        <v>34.4</v>
      </c>
      <c r="I10" s="208">
        <v>28.2</v>
      </c>
      <c r="J10" s="208">
        <v>179.86</v>
      </c>
      <c r="K10" s="208">
        <f t="shared" si="1"/>
        <v>291.76</v>
      </c>
      <c r="L10" s="29">
        <f t="shared" si="2"/>
        <v>294.676</v>
      </c>
      <c r="M10" s="250"/>
      <c r="N10" s="133"/>
      <c r="O10" s="133"/>
      <c r="P10" s="251"/>
      <c r="S10" s="29"/>
      <c r="T10" s="29"/>
      <c r="U10" s="202"/>
      <c r="V10" s="129"/>
      <c r="W10" s="209"/>
      <c r="Z10" s="29"/>
    </row>
    <row r="11" spans="1:26" s="4" customFormat="1" ht="15">
      <c r="A11" s="16" t="s">
        <v>29</v>
      </c>
      <c r="B11" s="127">
        <v>59.016</v>
      </c>
      <c r="C11" s="127">
        <v>14.452</v>
      </c>
      <c r="D11" s="210">
        <v>278.721</v>
      </c>
      <c r="E11" s="210">
        <f t="shared" si="0"/>
        <v>352.189</v>
      </c>
      <c r="F11" s="30"/>
      <c r="G11" s="208">
        <v>494.779</v>
      </c>
      <c r="H11" s="208">
        <v>734.929</v>
      </c>
      <c r="I11" s="208">
        <v>1178.428</v>
      </c>
      <c r="J11" s="208">
        <v>1776.332</v>
      </c>
      <c r="K11" s="208">
        <f t="shared" si="1"/>
        <v>4184.468000000001</v>
      </c>
      <c r="L11" s="210">
        <f t="shared" si="2"/>
        <v>4536.657000000001</v>
      </c>
      <c r="M11" s="250"/>
      <c r="N11" s="133"/>
      <c r="P11" s="251"/>
      <c r="S11" s="29"/>
      <c r="T11" s="29"/>
      <c r="U11" s="202"/>
      <c r="V11" s="129"/>
      <c r="W11" s="209"/>
      <c r="Z11" s="29"/>
    </row>
    <row r="12" spans="1:26" s="4" customFormat="1" ht="15">
      <c r="A12" s="16" t="s">
        <v>30</v>
      </c>
      <c r="B12" s="210">
        <v>0</v>
      </c>
      <c r="C12" s="210">
        <v>0</v>
      </c>
      <c r="D12" s="210">
        <v>19.490000000000002</v>
      </c>
      <c r="E12" s="210">
        <f t="shared" si="0"/>
        <v>19.490000000000002</v>
      </c>
      <c r="F12" s="30"/>
      <c r="G12" s="208">
        <v>36.5</v>
      </c>
      <c r="H12" s="208">
        <v>17</v>
      </c>
      <c r="I12" s="208">
        <v>95.9</v>
      </c>
      <c r="J12" s="208">
        <v>426.7</v>
      </c>
      <c r="K12" s="208">
        <f t="shared" si="1"/>
        <v>576.1</v>
      </c>
      <c r="L12" s="29">
        <f t="shared" si="2"/>
        <v>595.59</v>
      </c>
      <c r="M12" s="250"/>
      <c r="N12" s="133"/>
      <c r="O12" s="133"/>
      <c r="P12" s="251"/>
      <c r="S12" s="29"/>
      <c r="T12" s="29"/>
      <c r="U12" s="202"/>
      <c r="V12" s="129"/>
      <c r="W12" s="209"/>
      <c r="Z12" s="29"/>
    </row>
    <row r="13" spans="1:26" s="4" customFormat="1" ht="15">
      <c r="A13" s="16" t="s">
        <v>31</v>
      </c>
      <c r="B13" s="127">
        <v>10.66</v>
      </c>
      <c r="C13" s="127">
        <v>3.656</v>
      </c>
      <c r="D13" s="210">
        <v>55.862</v>
      </c>
      <c r="E13" s="210">
        <f t="shared" si="0"/>
        <v>70.178</v>
      </c>
      <c r="F13" s="30"/>
      <c r="G13" s="208">
        <v>124.2</v>
      </c>
      <c r="H13" s="208">
        <v>193.1</v>
      </c>
      <c r="I13" s="208">
        <v>210.8</v>
      </c>
      <c r="J13" s="208">
        <v>632.4</v>
      </c>
      <c r="K13" s="208">
        <f t="shared" si="1"/>
        <v>1160.5</v>
      </c>
      <c r="L13" s="29">
        <f t="shared" si="2"/>
        <v>1230.6779999999999</v>
      </c>
      <c r="M13" s="250"/>
      <c r="N13" s="133"/>
      <c r="P13" s="251"/>
      <c r="T13" s="29"/>
      <c r="U13" s="202"/>
      <c r="W13" s="209"/>
      <c r="Z13" s="29"/>
    </row>
    <row r="14" spans="1:26" s="4" customFormat="1" ht="15">
      <c r="A14" s="16" t="s">
        <v>32</v>
      </c>
      <c r="B14" s="210">
        <v>0</v>
      </c>
      <c r="C14" s="210">
        <v>0</v>
      </c>
      <c r="D14" s="210">
        <v>0</v>
      </c>
      <c r="E14" s="210">
        <f t="shared" si="0"/>
        <v>0</v>
      </c>
      <c r="F14" s="30"/>
      <c r="G14" s="208">
        <v>56.7</v>
      </c>
      <c r="H14" s="208">
        <v>47.3</v>
      </c>
      <c r="I14" s="208">
        <v>33.6</v>
      </c>
      <c r="J14" s="208">
        <v>385.3</v>
      </c>
      <c r="K14" s="208">
        <f t="shared" si="1"/>
        <v>522.9</v>
      </c>
      <c r="L14" s="29">
        <f t="shared" si="2"/>
        <v>522.9</v>
      </c>
      <c r="M14" s="250"/>
      <c r="W14" s="209"/>
      <c r="Z14" s="29"/>
    </row>
    <row r="15" spans="1:26" s="4" customFormat="1" ht="15">
      <c r="A15" s="16" t="s">
        <v>33</v>
      </c>
      <c r="B15" s="210">
        <v>0</v>
      </c>
      <c r="C15" s="210">
        <v>0</v>
      </c>
      <c r="D15" s="210">
        <v>59.32299999999999</v>
      </c>
      <c r="E15" s="210">
        <f>SUM(C15:D15)</f>
        <v>59.32299999999999</v>
      </c>
      <c r="F15" s="44"/>
      <c r="G15" s="208">
        <v>124.1</v>
      </c>
      <c r="H15" s="208">
        <v>169.4</v>
      </c>
      <c r="I15" s="208">
        <v>200.1</v>
      </c>
      <c r="J15" s="208">
        <v>443.8</v>
      </c>
      <c r="K15" s="208">
        <f t="shared" si="1"/>
        <v>937.4000000000001</v>
      </c>
      <c r="L15" s="29">
        <f t="shared" si="2"/>
        <v>996.7230000000001</v>
      </c>
      <c r="M15" s="250"/>
      <c r="N15" s="133"/>
      <c r="P15" s="251"/>
      <c r="R15" s="16"/>
      <c r="V15" s="129"/>
      <c r="W15" s="209"/>
      <c r="Z15" s="29"/>
    </row>
    <row r="16" spans="1:26" s="4" customFormat="1" ht="15">
      <c r="A16" s="16" t="s">
        <v>34</v>
      </c>
      <c r="B16" s="127">
        <v>9.29</v>
      </c>
      <c r="C16" s="127">
        <v>2.752</v>
      </c>
      <c r="D16" s="210">
        <v>10.285999999999998</v>
      </c>
      <c r="E16" s="210">
        <f t="shared" si="0"/>
        <v>22.327999999999996</v>
      </c>
      <c r="F16" s="30"/>
      <c r="G16" s="208">
        <v>31.1</v>
      </c>
      <c r="H16" s="208">
        <v>49.6</v>
      </c>
      <c r="I16" s="208">
        <v>82.9</v>
      </c>
      <c r="J16" s="208">
        <v>321.56</v>
      </c>
      <c r="K16" s="208">
        <f t="shared" si="1"/>
        <v>485.16</v>
      </c>
      <c r="L16" s="29">
        <f t="shared" si="2"/>
        <v>507.488</v>
      </c>
      <c r="M16" s="250"/>
      <c r="N16" s="133"/>
      <c r="P16" s="251"/>
      <c r="S16" s="29"/>
      <c r="T16" s="29"/>
      <c r="U16" s="202"/>
      <c r="V16" s="129"/>
      <c r="W16" s="209"/>
      <c r="Z16" s="29"/>
    </row>
    <row r="17" spans="1:26" s="4" customFormat="1" ht="15">
      <c r="A17" s="16" t="s">
        <v>35</v>
      </c>
      <c r="B17" s="127">
        <v>19</v>
      </c>
      <c r="C17" s="127">
        <v>13.7</v>
      </c>
      <c r="D17" s="210">
        <v>34.158</v>
      </c>
      <c r="E17" s="210">
        <f t="shared" si="0"/>
        <v>66.858</v>
      </c>
      <c r="F17" s="30"/>
      <c r="G17" s="208">
        <v>135.9</v>
      </c>
      <c r="H17" s="208">
        <v>49.3</v>
      </c>
      <c r="I17" s="208">
        <v>118.8</v>
      </c>
      <c r="J17" s="208">
        <v>1132.1</v>
      </c>
      <c r="K17" s="208">
        <f t="shared" si="1"/>
        <v>1436.1</v>
      </c>
      <c r="L17" s="29">
        <f t="shared" si="2"/>
        <v>1502.9579999999999</v>
      </c>
      <c r="M17" s="250"/>
      <c r="N17" s="133"/>
      <c r="P17" s="251"/>
      <c r="S17" s="29"/>
      <c r="T17" s="29"/>
      <c r="U17" s="202"/>
      <c r="V17" s="129"/>
      <c r="W17" s="209"/>
      <c r="Z17" s="29"/>
    </row>
    <row r="18" spans="1:26" s="4" customFormat="1" ht="15">
      <c r="A18" s="16" t="s">
        <v>80</v>
      </c>
      <c r="B18" s="210">
        <v>0</v>
      </c>
      <c r="C18" s="210">
        <v>0</v>
      </c>
      <c r="D18" s="210">
        <v>0</v>
      </c>
      <c r="E18" s="210">
        <f t="shared" si="0"/>
        <v>0</v>
      </c>
      <c r="F18" s="30"/>
      <c r="G18" s="208">
        <v>339.6</v>
      </c>
      <c r="H18" s="208">
        <v>176.5</v>
      </c>
      <c r="I18" s="208">
        <v>188.9</v>
      </c>
      <c r="J18" s="208">
        <v>487.012</v>
      </c>
      <c r="K18" s="208">
        <f t="shared" si="1"/>
        <v>1192.012</v>
      </c>
      <c r="L18" s="29">
        <f t="shared" si="2"/>
        <v>1192.012</v>
      </c>
      <c r="M18" s="250"/>
      <c r="W18" s="209"/>
      <c r="Z18" s="29"/>
    </row>
    <row r="19" spans="1:26" s="4" customFormat="1" ht="15">
      <c r="A19" s="16" t="s">
        <v>36</v>
      </c>
      <c r="B19" s="127">
        <v>39.31</v>
      </c>
      <c r="C19" s="127">
        <v>13.648</v>
      </c>
      <c r="D19" s="210">
        <v>4.8580000000000005</v>
      </c>
      <c r="E19" s="210">
        <f t="shared" si="0"/>
        <v>57.816</v>
      </c>
      <c r="F19" s="30"/>
      <c r="G19" s="208">
        <v>114.22</v>
      </c>
      <c r="H19" s="208">
        <v>96.02</v>
      </c>
      <c r="I19" s="208">
        <v>118.13</v>
      </c>
      <c r="J19" s="208">
        <v>656.95</v>
      </c>
      <c r="K19" s="208">
        <f t="shared" si="1"/>
        <v>985.32</v>
      </c>
      <c r="L19" s="29">
        <f t="shared" si="2"/>
        <v>1043.136</v>
      </c>
      <c r="M19" s="250"/>
      <c r="N19" s="133"/>
      <c r="P19" s="251"/>
      <c r="S19" s="29"/>
      <c r="T19" s="29"/>
      <c r="U19" s="202"/>
      <c r="W19" s="209"/>
      <c r="Z19" s="29"/>
    </row>
    <row r="20" spans="1:26" s="4" customFormat="1" ht="15">
      <c r="A20" s="16" t="s">
        <v>37</v>
      </c>
      <c r="B20" s="127">
        <v>20.309</v>
      </c>
      <c r="C20" s="127">
        <v>8.137</v>
      </c>
      <c r="D20" s="210">
        <v>96.005</v>
      </c>
      <c r="E20" s="210">
        <f t="shared" si="0"/>
        <v>124.451</v>
      </c>
      <c r="F20" s="30"/>
      <c r="G20" s="208">
        <v>321.9</v>
      </c>
      <c r="H20" s="208">
        <v>324.7</v>
      </c>
      <c r="I20" s="208">
        <v>352</v>
      </c>
      <c r="J20" s="208">
        <v>1447.6</v>
      </c>
      <c r="K20" s="208">
        <f t="shared" si="1"/>
        <v>2446.2</v>
      </c>
      <c r="L20" s="29">
        <f t="shared" si="2"/>
        <v>2570.651</v>
      </c>
      <c r="M20" s="250"/>
      <c r="N20" s="133"/>
      <c r="P20" s="251"/>
      <c r="R20" s="16"/>
      <c r="V20" s="129"/>
      <c r="W20" s="209"/>
      <c r="Z20" s="29"/>
    </row>
    <row r="21" spans="1:26" s="4" customFormat="1" ht="15">
      <c r="A21" s="16" t="s">
        <v>38</v>
      </c>
      <c r="B21" s="127">
        <v>52.422</v>
      </c>
      <c r="C21" s="127">
        <v>54.151</v>
      </c>
      <c r="D21" s="210">
        <v>2.081</v>
      </c>
      <c r="E21" s="210">
        <f t="shared" si="0"/>
        <v>108.65400000000001</v>
      </c>
      <c r="F21" s="30"/>
      <c r="G21" s="208">
        <v>134.5</v>
      </c>
      <c r="H21" s="208">
        <v>63.7</v>
      </c>
      <c r="I21" s="208">
        <v>209.4</v>
      </c>
      <c r="J21" s="208">
        <v>1421.1</v>
      </c>
      <c r="K21" s="208">
        <f t="shared" si="1"/>
        <v>1828.6999999999998</v>
      </c>
      <c r="L21" s="29">
        <f t="shared" si="2"/>
        <v>1937.3539999999998</v>
      </c>
      <c r="M21" s="250"/>
      <c r="N21" s="133"/>
      <c r="O21" s="133"/>
      <c r="P21" s="251"/>
      <c r="T21" s="29"/>
      <c r="U21" s="202"/>
      <c r="V21" s="129"/>
      <c r="W21" s="209"/>
      <c r="Z21" s="29"/>
    </row>
    <row r="22" spans="1:26" s="4" customFormat="1" ht="15">
      <c r="A22" s="16" t="s">
        <v>39</v>
      </c>
      <c r="B22" s="210">
        <v>0</v>
      </c>
      <c r="C22" s="210">
        <v>0</v>
      </c>
      <c r="D22" s="210">
        <v>960.661</v>
      </c>
      <c r="E22" s="210">
        <f t="shared" si="0"/>
        <v>960.661</v>
      </c>
      <c r="F22" s="30"/>
      <c r="G22" s="208">
        <v>1399.8</v>
      </c>
      <c r="H22" s="208">
        <v>981.7</v>
      </c>
      <c r="I22" s="208">
        <v>1446</v>
      </c>
      <c r="J22" s="208">
        <v>2938.5</v>
      </c>
      <c r="K22" s="208">
        <f t="shared" si="1"/>
        <v>6766</v>
      </c>
      <c r="L22" s="29">
        <f t="shared" si="2"/>
        <v>7726.661</v>
      </c>
      <c r="M22" s="250"/>
      <c r="N22" s="133"/>
      <c r="P22" s="251"/>
      <c r="S22" s="29"/>
      <c r="T22" s="29"/>
      <c r="U22" s="202"/>
      <c r="V22" s="129"/>
      <c r="W22" s="209"/>
      <c r="Z22" s="29"/>
    </row>
    <row r="23" spans="1:26" s="4" customFormat="1" ht="15">
      <c r="A23" s="16" t="s">
        <v>40</v>
      </c>
      <c r="B23" s="210">
        <v>0</v>
      </c>
      <c r="C23" s="210">
        <v>0</v>
      </c>
      <c r="D23" s="210">
        <v>28.055</v>
      </c>
      <c r="E23" s="210">
        <f t="shared" si="0"/>
        <v>28.055</v>
      </c>
      <c r="F23" s="30"/>
      <c r="G23" s="208">
        <v>23.5</v>
      </c>
      <c r="H23" s="208">
        <v>22.7</v>
      </c>
      <c r="I23" s="208">
        <v>54</v>
      </c>
      <c r="J23" s="208">
        <v>272.61</v>
      </c>
      <c r="K23" s="208">
        <f t="shared" si="1"/>
        <v>372.81</v>
      </c>
      <c r="L23" s="29">
        <f t="shared" si="2"/>
        <v>400.865</v>
      </c>
      <c r="M23" s="250"/>
      <c r="N23" s="133"/>
      <c r="O23" s="133"/>
      <c r="P23" s="251"/>
      <c r="Q23" s="24"/>
      <c r="S23" s="29"/>
      <c r="T23" s="29"/>
      <c r="U23" s="202"/>
      <c r="V23" s="129"/>
      <c r="W23" s="209"/>
      <c r="Z23" s="29"/>
    </row>
    <row r="24" spans="1:26" s="4" customFormat="1" ht="15">
      <c r="A24" s="16" t="s">
        <v>41</v>
      </c>
      <c r="B24" s="210">
        <v>0</v>
      </c>
      <c r="C24" s="210">
        <v>0</v>
      </c>
      <c r="D24" s="210">
        <v>38.613</v>
      </c>
      <c r="E24" s="210">
        <f t="shared" si="0"/>
        <v>38.613</v>
      </c>
      <c r="F24" s="30"/>
      <c r="G24" s="208">
        <v>92.6</v>
      </c>
      <c r="H24" s="208">
        <v>100</v>
      </c>
      <c r="I24" s="208">
        <v>101.2</v>
      </c>
      <c r="J24" s="208">
        <v>399</v>
      </c>
      <c r="K24" s="208">
        <f t="shared" si="1"/>
        <v>692.8</v>
      </c>
      <c r="L24" s="29">
        <f t="shared" si="2"/>
        <v>731.413</v>
      </c>
      <c r="M24" s="250"/>
      <c r="N24" s="133"/>
      <c r="P24" s="251"/>
      <c r="S24" s="29"/>
      <c r="T24" s="29"/>
      <c r="U24" s="202"/>
      <c r="V24" s="129"/>
      <c r="W24" s="209"/>
      <c r="Z24" s="29"/>
    </row>
    <row r="25" spans="1:26" s="4" customFormat="1" ht="15">
      <c r="A25" s="16" t="s">
        <v>42</v>
      </c>
      <c r="B25" s="210">
        <v>0</v>
      </c>
      <c r="C25" s="210">
        <v>0</v>
      </c>
      <c r="D25" s="210">
        <v>98.446</v>
      </c>
      <c r="E25" s="210">
        <f t="shared" si="0"/>
        <v>98.446</v>
      </c>
      <c r="F25" s="30"/>
      <c r="G25" s="208">
        <v>157.2</v>
      </c>
      <c r="H25" s="208">
        <v>296.4</v>
      </c>
      <c r="I25" s="208">
        <v>365.8</v>
      </c>
      <c r="J25" s="208">
        <v>739.1</v>
      </c>
      <c r="K25" s="208">
        <f t="shared" si="1"/>
        <v>1558.5</v>
      </c>
      <c r="L25" s="29">
        <f t="shared" si="2"/>
        <v>1656.946</v>
      </c>
      <c r="M25" s="250"/>
      <c r="N25" s="133"/>
      <c r="P25" s="251"/>
      <c r="S25" s="29"/>
      <c r="T25" s="29"/>
      <c r="U25" s="202"/>
      <c r="V25" s="129"/>
      <c r="W25" s="209"/>
      <c r="Z25" s="29"/>
    </row>
    <row r="26" spans="1:26" s="4" customFormat="1" ht="15">
      <c r="A26" s="16" t="s">
        <v>43</v>
      </c>
      <c r="B26" s="210">
        <v>0</v>
      </c>
      <c r="C26" s="210">
        <v>0</v>
      </c>
      <c r="D26" s="210">
        <v>67.396</v>
      </c>
      <c r="E26" s="210">
        <f t="shared" si="0"/>
        <v>67.396</v>
      </c>
      <c r="F26" s="30"/>
      <c r="G26" s="208">
        <v>101.1</v>
      </c>
      <c r="H26" s="208">
        <v>154.8</v>
      </c>
      <c r="I26" s="208">
        <v>206.5</v>
      </c>
      <c r="J26" s="208">
        <v>579.4</v>
      </c>
      <c r="K26" s="208">
        <f t="shared" si="1"/>
        <v>1041.8</v>
      </c>
      <c r="L26" s="29">
        <f t="shared" si="2"/>
        <v>1109.196</v>
      </c>
      <c r="M26" s="250"/>
      <c r="N26" s="133"/>
      <c r="O26" s="133"/>
      <c r="P26" s="251"/>
      <c r="Q26" s="24"/>
      <c r="S26" s="29"/>
      <c r="T26" s="29"/>
      <c r="U26" s="202"/>
      <c r="V26" s="129"/>
      <c r="W26" s="209"/>
      <c r="Z26" s="29"/>
    </row>
    <row r="27" spans="1:26" s="4" customFormat="1" ht="18">
      <c r="A27" s="16" t="s">
        <v>169</v>
      </c>
      <c r="B27" s="127">
        <v>57.251</v>
      </c>
      <c r="C27" s="127">
        <v>29.105</v>
      </c>
      <c r="D27" s="210">
        <v>20.245</v>
      </c>
      <c r="E27" s="210">
        <f t="shared" si="0"/>
        <v>106.601</v>
      </c>
      <c r="F27" s="30"/>
      <c r="G27" s="208">
        <v>147.2</v>
      </c>
      <c r="H27" s="208">
        <v>144</v>
      </c>
      <c r="I27" s="208">
        <v>245.9</v>
      </c>
      <c r="J27" s="208">
        <v>1057.4</v>
      </c>
      <c r="K27" s="208">
        <f t="shared" si="1"/>
        <v>1594.5</v>
      </c>
      <c r="L27" s="29">
        <f t="shared" si="2"/>
        <v>1701.101</v>
      </c>
      <c r="M27" s="250"/>
      <c r="N27" s="133"/>
      <c r="O27" s="133"/>
      <c r="P27" s="251"/>
      <c r="Q27" s="24"/>
      <c r="S27" s="29"/>
      <c r="T27" s="29"/>
      <c r="U27" s="202"/>
      <c r="V27" s="129"/>
      <c r="W27" s="209"/>
      <c r="Z27" s="29"/>
    </row>
    <row r="28" spans="1:26" s="4" customFormat="1" ht="15">
      <c r="A28" s="16" t="s">
        <v>45</v>
      </c>
      <c r="B28" s="210">
        <v>0</v>
      </c>
      <c r="C28" s="210">
        <v>0</v>
      </c>
      <c r="D28" s="210">
        <v>0</v>
      </c>
      <c r="E28" s="210">
        <f t="shared" si="0"/>
        <v>0</v>
      </c>
      <c r="F28" s="30"/>
      <c r="G28" s="208">
        <v>160.6</v>
      </c>
      <c r="H28" s="208">
        <v>204.8</v>
      </c>
      <c r="I28" s="208">
        <v>159.8</v>
      </c>
      <c r="J28" s="208">
        <v>459.3</v>
      </c>
      <c r="K28" s="208">
        <f t="shared" si="1"/>
        <v>984.5</v>
      </c>
      <c r="L28" s="29">
        <f t="shared" si="2"/>
        <v>984.5</v>
      </c>
      <c r="M28" s="250"/>
      <c r="W28" s="209"/>
      <c r="Z28" s="29"/>
    </row>
    <row r="29" spans="1:26" s="4" customFormat="1" ht="15">
      <c r="A29" s="16" t="s">
        <v>46</v>
      </c>
      <c r="B29" s="127">
        <v>38.695</v>
      </c>
      <c r="C29" s="127">
        <v>14.078</v>
      </c>
      <c r="D29" s="210">
        <v>207.785</v>
      </c>
      <c r="E29" s="210">
        <f t="shared" si="0"/>
        <v>260.558</v>
      </c>
      <c r="F29" s="30"/>
      <c r="G29" s="208">
        <v>435.1</v>
      </c>
      <c r="H29" s="208">
        <v>367</v>
      </c>
      <c r="I29" s="208">
        <v>638.1</v>
      </c>
      <c r="J29" s="208">
        <v>1063.7</v>
      </c>
      <c r="K29" s="208">
        <f t="shared" si="1"/>
        <v>2503.9</v>
      </c>
      <c r="L29" s="29">
        <f t="shared" si="2"/>
        <v>2764.458</v>
      </c>
      <c r="M29" s="250"/>
      <c r="N29" s="133"/>
      <c r="O29" s="133"/>
      <c r="P29" s="251"/>
      <c r="Q29" s="24"/>
      <c r="S29" s="29"/>
      <c r="T29" s="29"/>
      <c r="U29" s="202"/>
      <c r="V29" s="129"/>
      <c r="W29" s="209"/>
      <c r="Z29" s="29"/>
    </row>
    <row r="30" spans="1:26" s="4" customFormat="1" ht="15">
      <c r="A30" s="16" t="s">
        <v>47</v>
      </c>
      <c r="B30" s="127">
        <v>18.348</v>
      </c>
      <c r="C30" s="127">
        <v>11.784</v>
      </c>
      <c r="D30" s="210">
        <v>26.248999999999995</v>
      </c>
      <c r="E30" s="210">
        <f t="shared" si="0"/>
        <v>56.38099999999999</v>
      </c>
      <c r="F30" s="30"/>
      <c r="G30" s="208">
        <v>65.2</v>
      </c>
      <c r="H30" s="208">
        <v>62.3</v>
      </c>
      <c r="I30" s="208">
        <v>139.6</v>
      </c>
      <c r="J30" s="208">
        <v>559.1</v>
      </c>
      <c r="K30" s="208">
        <f t="shared" si="1"/>
        <v>826.2</v>
      </c>
      <c r="L30" s="29">
        <f t="shared" si="2"/>
        <v>882.581</v>
      </c>
      <c r="M30" s="250"/>
      <c r="N30" s="133"/>
      <c r="P30" s="251"/>
      <c r="S30" s="29"/>
      <c r="T30" s="29"/>
      <c r="U30" s="202"/>
      <c r="W30" s="209"/>
      <c r="Z30" s="29"/>
    </row>
    <row r="31" spans="1:26" s="4" customFormat="1" ht="15">
      <c r="A31" s="16" t="s">
        <v>27</v>
      </c>
      <c r="B31" s="210">
        <v>0</v>
      </c>
      <c r="C31" s="210">
        <v>0</v>
      </c>
      <c r="D31" s="210">
        <v>166.541</v>
      </c>
      <c r="E31" s="210">
        <f t="shared" si="0"/>
        <v>166.541</v>
      </c>
      <c r="F31" s="30"/>
      <c r="G31" s="208">
        <v>458.4</v>
      </c>
      <c r="H31" s="208">
        <v>599.3</v>
      </c>
      <c r="I31" s="208">
        <v>768.9</v>
      </c>
      <c r="J31" s="208">
        <v>1151.3</v>
      </c>
      <c r="K31" s="208">
        <f t="shared" si="1"/>
        <v>2977.8999999999996</v>
      </c>
      <c r="L31" s="29">
        <f t="shared" si="2"/>
        <v>3144.441</v>
      </c>
      <c r="M31" s="250"/>
      <c r="N31" s="133"/>
      <c r="P31" s="251"/>
      <c r="R31" s="16"/>
      <c r="V31" s="129"/>
      <c r="W31" s="209"/>
      <c r="Z31" s="29"/>
    </row>
    <row r="32" spans="1:26" s="4" customFormat="1" ht="15">
      <c r="A32" s="16" t="s">
        <v>48</v>
      </c>
      <c r="B32" s="210">
        <v>0</v>
      </c>
      <c r="C32" s="210">
        <v>0</v>
      </c>
      <c r="D32" s="210">
        <v>0</v>
      </c>
      <c r="E32" s="210">
        <f t="shared" si="0"/>
        <v>0</v>
      </c>
      <c r="F32" s="30"/>
      <c r="G32" s="208">
        <v>224.6</v>
      </c>
      <c r="H32" s="208">
        <v>161.7</v>
      </c>
      <c r="I32" s="208">
        <v>198.5</v>
      </c>
      <c r="J32" s="208">
        <v>465.8</v>
      </c>
      <c r="K32" s="208">
        <f t="shared" si="1"/>
        <v>1050.6</v>
      </c>
      <c r="L32" s="29">
        <f t="shared" si="2"/>
        <v>1050.6</v>
      </c>
      <c r="M32" s="250"/>
      <c r="W32" s="209"/>
      <c r="Z32" s="29"/>
    </row>
    <row r="33" spans="1:26" s="4" customFormat="1" ht="15">
      <c r="A33" s="16" t="s">
        <v>49</v>
      </c>
      <c r="B33" s="210">
        <v>0</v>
      </c>
      <c r="C33" s="210">
        <v>0</v>
      </c>
      <c r="D33" s="210">
        <v>92.961</v>
      </c>
      <c r="E33" s="210">
        <f t="shared" si="0"/>
        <v>92.961</v>
      </c>
      <c r="F33" s="30"/>
      <c r="G33" s="208">
        <v>107.9</v>
      </c>
      <c r="H33" s="208">
        <v>208.5</v>
      </c>
      <c r="I33" s="208">
        <v>231.8</v>
      </c>
      <c r="J33" s="208">
        <v>627.5</v>
      </c>
      <c r="K33" s="208">
        <f t="shared" si="1"/>
        <v>1175.7</v>
      </c>
      <c r="L33" s="29">
        <f t="shared" si="2"/>
        <v>1268.661</v>
      </c>
      <c r="M33" s="250"/>
      <c r="N33" s="133"/>
      <c r="P33" s="251"/>
      <c r="S33" s="29"/>
      <c r="T33" s="29"/>
      <c r="U33" s="202"/>
      <c r="V33" s="129"/>
      <c r="W33" s="209"/>
      <c r="Z33" s="29"/>
    </row>
    <row r="34" spans="1:26" s="4" customFormat="1" ht="15">
      <c r="A34" s="25" t="s">
        <v>50</v>
      </c>
      <c r="B34" s="127">
        <v>64.569</v>
      </c>
      <c r="C34" s="127">
        <v>21.267</v>
      </c>
      <c r="D34" s="210">
        <v>56.301</v>
      </c>
      <c r="E34" s="210">
        <f t="shared" si="0"/>
        <v>142.137</v>
      </c>
      <c r="F34" s="30"/>
      <c r="G34" s="208">
        <v>268.1</v>
      </c>
      <c r="H34" s="208">
        <v>246.7</v>
      </c>
      <c r="I34" s="208">
        <v>444</v>
      </c>
      <c r="J34" s="208">
        <v>1312.6</v>
      </c>
      <c r="K34" s="208">
        <f t="shared" si="1"/>
        <v>2271.3999999999996</v>
      </c>
      <c r="L34" s="29">
        <f t="shared" si="2"/>
        <v>2413.537</v>
      </c>
      <c r="M34" s="250"/>
      <c r="N34" s="133"/>
      <c r="P34" s="251"/>
      <c r="T34" s="29"/>
      <c r="U34" s="202"/>
      <c r="V34" s="129"/>
      <c r="W34" s="209"/>
      <c r="Z34" s="29"/>
    </row>
    <row r="35" spans="1:26" s="4" customFormat="1" ht="15">
      <c r="A35" s="16" t="s">
        <v>51</v>
      </c>
      <c r="B35" s="127">
        <v>21.37</v>
      </c>
      <c r="C35" s="127">
        <v>6.32</v>
      </c>
      <c r="D35" s="210">
        <v>116.577</v>
      </c>
      <c r="E35" s="210">
        <f t="shared" si="0"/>
        <v>144.267</v>
      </c>
      <c r="F35" s="30"/>
      <c r="G35" s="208">
        <v>212.1</v>
      </c>
      <c r="H35" s="208">
        <v>160.91</v>
      </c>
      <c r="I35" s="208">
        <v>170.6</v>
      </c>
      <c r="J35" s="208">
        <v>473.82</v>
      </c>
      <c r="K35" s="208">
        <f t="shared" si="1"/>
        <v>1017.4300000000001</v>
      </c>
      <c r="L35" s="29">
        <f t="shared" si="2"/>
        <v>1161.6970000000001</v>
      </c>
      <c r="M35" s="250"/>
      <c r="N35" s="133"/>
      <c r="P35" s="251"/>
      <c r="S35" s="29"/>
      <c r="T35" s="29"/>
      <c r="U35" s="202"/>
      <c r="W35" s="209"/>
      <c r="Z35" s="29"/>
    </row>
    <row r="36" spans="1:26" s="4" customFormat="1" ht="15">
      <c r="A36" s="16" t="s">
        <v>52</v>
      </c>
      <c r="B36" s="210">
        <v>0</v>
      </c>
      <c r="C36" s="210">
        <v>0</v>
      </c>
      <c r="D36" s="210">
        <v>22.613999999999997</v>
      </c>
      <c r="E36" s="210">
        <f>SUM(B36:D36)</f>
        <v>22.613999999999997</v>
      </c>
      <c r="F36" s="30"/>
      <c r="G36" s="208">
        <v>46.1</v>
      </c>
      <c r="H36" s="208">
        <v>8.3</v>
      </c>
      <c r="I36" s="208">
        <v>26.9</v>
      </c>
      <c r="J36" s="208">
        <v>296.8</v>
      </c>
      <c r="K36" s="208">
        <f t="shared" si="1"/>
        <v>378.1</v>
      </c>
      <c r="L36" s="29">
        <f t="shared" si="2"/>
        <v>400.714</v>
      </c>
      <c r="M36" s="250"/>
      <c r="N36" s="133"/>
      <c r="P36" s="251"/>
      <c r="R36" s="16"/>
      <c r="V36" s="129"/>
      <c r="W36" s="209"/>
      <c r="Z36" s="29"/>
    </row>
    <row r="37" spans="1:26" s="4" customFormat="1" ht="15">
      <c r="A37" s="16" t="s">
        <v>53</v>
      </c>
      <c r="B37" s="127">
        <v>34.704</v>
      </c>
      <c r="C37" s="127">
        <v>12.703</v>
      </c>
      <c r="D37" s="210">
        <v>0</v>
      </c>
      <c r="E37" s="210">
        <f>SUM(B37:D37)</f>
        <v>47.407</v>
      </c>
      <c r="F37" s="30"/>
      <c r="G37" s="208">
        <v>152</v>
      </c>
      <c r="H37" s="208">
        <v>117.1</v>
      </c>
      <c r="I37" s="208">
        <v>116.3</v>
      </c>
      <c r="J37" s="208">
        <v>672</v>
      </c>
      <c r="K37" s="208">
        <f t="shared" si="1"/>
        <v>1057.4</v>
      </c>
      <c r="L37" s="29">
        <f t="shared" si="2"/>
        <v>1104.807</v>
      </c>
      <c r="M37" s="250"/>
      <c r="N37" s="133"/>
      <c r="P37" s="251"/>
      <c r="S37" s="29"/>
      <c r="T37" s="29"/>
      <c r="U37" s="202"/>
      <c r="V37" s="129"/>
      <c r="W37" s="209"/>
      <c r="Z37" s="29"/>
    </row>
    <row r="38" spans="1:26" s="4" customFormat="1" ht="15">
      <c r="A38" s="63" t="s">
        <v>6</v>
      </c>
      <c r="B38" s="244">
        <f>SUM(B6:B37)</f>
        <v>444.944</v>
      </c>
      <c r="C38" s="244">
        <f>SUM(C6:C37)</f>
        <v>205.753</v>
      </c>
      <c r="D38" s="244">
        <f>SUM(D6:D37)</f>
        <v>3088.4729999999986</v>
      </c>
      <c r="E38" s="244">
        <f>SUM(E6:E37)</f>
        <v>3739.1699999999996</v>
      </c>
      <c r="F38" s="244"/>
      <c r="G38" s="244">
        <f aca="true" t="shared" si="3" ref="G38:L38">SUM(G6:G37)</f>
        <v>7529.249000000001</v>
      </c>
      <c r="H38" s="244">
        <f t="shared" si="3"/>
        <v>7516.759</v>
      </c>
      <c r="I38" s="244">
        <f t="shared" si="3"/>
        <v>10697.107999999998</v>
      </c>
      <c r="J38" s="244">
        <f t="shared" si="3"/>
        <v>27239.925999999996</v>
      </c>
      <c r="K38" s="244">
        <f t="shared" si="3"/>
        <v>52983.04200000001</v>
      </c>
      <c r="L38" s="244">
        <f t="shared" si="3"/>
        <v>56722.211999999985</v>
      </c>
      <c r="M38" s="250"/>
      <c r="N38" s="133"/>
      <c r="P38" s="251"/>
      <c r="S38" s="29"/>
      <c r="T38" s="29"/>
      <c r="U38" s="202"/>
      <c r="V38" s="129"/>
      <c r="W38" s="209"/>
      <c r="Z38" s="29"/>
    </row>
    <row r="39" spans="2:20" s="4" customFormat="1" ht="15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7" t="s">
        <v>54</v>
      </c>
      <c r="T39" s="29"/>
    </row>
    <row r="40" spans="1:13" s="4" customFormat="1" ht="15">
      <c r="A40" s="4" t="s">
        <v>23</v>
      </c>
      <c r="B40" s="252" t="s">
        <v>115</v>
      </c>
      <c r="C40" s="252" t="s">
        <v>115</v>
      </c>
      <c r="D40" s="75">
        <f aca="true" t="shared" si="4" ref="D40:E43">D6/D$38*100</f>
        <v>1.1544863756296402</v>
      </c>
      <c r="E40" s="75">
        <f t="shared" si="4"/>
        <v>0.9535806074610141</v>
      </c>
      <c r="F40" s="75"/>
      <c r="G40" s="75">
        <f aca="true" t="shared" si="5" ref="G40:L49">G6/G$38*100</f>
        <v>1.7192949788219245</v>
      </c>
      <c r="H40" s="75">
        <f t="shared" si="5"/>
        <v>0.5614121724535801</v>
      </c>
      <c r="I40" s="75">
        <f t="shared" si="5"/>
        <v>0.8932320773053802</v>
      </c>
      <c r="J40" s="75">
        <f t="shared" si="5"/>
        <v>2.6806240222532183</v>
      </c>
      <c r="K40" s="75">
        <f t="shared" si="5"/>
        <v>1.8824891179332435</v>
      </c>
      <c r="L40" s="75">
        <f t="shared" si="5"/>
        <v>1.8212547846335758</v>
      </c>
      <c r="M40" s="75"/>
    </row>
    <row r="41" spans="1:13" s="4" customFormat="1" ht="15">
      <c r="A41" s="4" t="s">
        <v>24</v>
      </c>
      <c r="B41" s="252" t="s">
        <v>115</v>
      </c>
      <c r="C41" s="252" t="s">
        <v>115</v>
      </c>
      <c r="D41" s="75">
        <f t="shared" si="4"/>
        <v>7.635682746781343</v>
      </c>
      <c r="E41" s="75">
        <f t="shared" si="4"/>
        <v>6.306907682721033</v>
      </c>
      <c r="F41" s="75"/>
      <c r="G41" s="75">
        <f t="shared" si="5"/>
        <v>9.13371307018801</v>
      </c>
      <c r="H41" s="75">
        <f t="shared" si="5"/>
        <v>10.831795990798694</v>
      </c>
      <c r="I41" s="75">
        <f t="shared" si="5"/>
        <v>14.468396504924511</v>
      </c>
      <c r="J41" s="75">
        <f t="shared" si="5"/>
        <v>9.23270496402964</v>
      </c>
      <c r="K41" s="75">
        <f t="shared" si="5"/>
        <v>10.502571747390418</v>
      </c>
      <c r="L41" s="75">
        <f t="shared" si="5"/>
        <v>10.225990481471353</v>
      </c>
      <c r="M41" s="75"/>
    </row>
    <row r="42" spans="1:13" s="4" customFormat="1" ht="15">
      <c r="A42" s="4" t="s">
        <v>25</v>
      </c>
      <c r="B42" s="252" t="s">
        <v>115</v>
      </c>
      <c r="C42" s="252" t="s">
        <v>115</v>
      </c>
      <c r="D42" s="75">
        <f t="shared" si="4"/>
        <v>1.76698970656373</v>
      </c>
      <c r="E42" s="75">
        <f t="shared" si="4"/>
        <v>1.4594950216224458</v>
      </c>
      <c r="F42" s="75"/>
      <c r="G42" s="75">
        <f t="shared" si="5"/>
        <v>2.5566958935745117</v>
      </c>
      <c r="H42" s="75">
        <f t="shared" si="5"/>
        <v>3.3884284436949486</v>
      </c>
      <c r="I42" s="75">
        <f t="shared" si="5"/>
        <v>4.567589670030443</v>
      </c>
      <c r="J42" s="75">
        <f t="shared" si="5"/>
        <v>3.240831124137415</v>
      </c>
      <c r="K42" s="75">
        <f t="shared" si="5"/>
        <v>3.4324189992715017</v>
      </c>
      <c r="L42" s="75">
        <f t="shared" si="5"/>
        <v>3.3023623972915592</v>
      </c>
      <c r="M42" s="75"/>
    </row>
    <row r="43" spans="1:13" s="4" customFormat="1" ht="12.75" customHeight="1">
      <c r="A43" s="4" t="s">
        <v>26</v>
      </c>
      <c r="B43" s="252" t="s">
        <v>115</v>
      </c>
      <c r="C43" s="252" t="s">
        <v>115</v>
      </c>
      <c r="D43" s="75">
        <f t="shared" si="4"/>
        <v>9.592895906812206</v>
      </c>
      <c r="E43" s="75">
        <f t="shared" si="4"/>
        <v>7.923523134813341</v>
      </c>
      <c r="F43" s="75"/>
      <c r="G43" s="75">
        <f t="shared" si="5"/>
        <v>6.7111607014192245</v>
      </c>
      <c r="H43" s="75">
        <f t="shared" si="5"/>
        <v>8.16176227014861</v>
      </c>
      <c r="I43" s="75">
        <f t="shared" si="5"/>
        <v>4.059041004353701</v>
      </c>
      <c r="J43" s="75">
        <f t="shared" si="5"/>
        <v>2.6920043762233425</v>
      </c>
      <c r="K43" s="75">
        <f t="shared" si="5"/>
        <v>4.315154271436509</v>
      </c>
      <c r="L43" s="75">
        <f t="shared" si="5"/>
        <v>4.553020605049748</v>
      </c>
      <c r="M43" s="75"/>
    </row>
    <row r="44" spans="1:13" s="4" customFormat="1" ht="12.75" customHeight="1">
      <c r="A44" s="4" t="s">
        <v>28</v>
      </c>
      <c r="B44" s="252" t="s">
        <v>115</v>
      </c>
      <c r="C44" s="252" t="s">
        <v>115</v>
      </c>
      <c r="D44" s="252" t="s">
        <v>115</v>
      </c>
      <c r="E44" s="75">
        <f aca="true" t="shared" si="6" ref="E44:E72">E10/E$38*100</f>
        <v>0.07798522131916977</v>
      </c>
      <c r="F44" s="75"/>
      <c r="G44" s="75">
        <f t="shared" si="5"/>
        <v>0.6547797794972645</v>
      </c>
      <c r="H44" s="75">
        <f t="shared" si="5"/>
        <v>0.45764404579154394</v>
      </c>
      <c r="I44" s="75">
        <f t="shared" si="5"/>
        <v>0.2636226538986052</v>
      </c>
      <c r="J44" s="75">
        <f t="shared" si="5"/>
        <v>0.660280795182777</v>
      </c>
      <c r="K44" s="75">
        <f t="shared" si="5"/>
        <v>0.5506667586206166</v>
      </c>
      <c r="L44" s="75">
        <f t="shared" si="5"/>
        <v>0.51950724347633</v>
      </c>
      <c r="M44" s="75"/>
    </row>
    <row r="45" spans="1:13" s="4" customFormat="1" ht="12.75" customHeight="1">
      <c r="A45" s="4" t="s">
        <v>29</v>
      </c>
      <c r="B45" s="75">
        <f>B11/B$38*100</f>
        <v>13.263691610629651</v>
      </c>
      <c r="C45" s="75">
        <f>C11/C$38*100</f>
        <v>7.023955908297815</v>
      </c>
      <c r="D45" s="75">
        <f>D11/D$38*100</f>
        <v>9.024556795542656</v>
      </c>
      <c r="E45" s="75">
        <f t="shared" si="6"/>
        <v>9.418908474340563</v>
      </c>
      <c r="F45" s="75"/>
      <c r="G45" s="75">
        <f t="shared" si="5"/>
        <v>6.571425649490406</v>
      </c>
      <c r="H45" s="75">
        <f t="shared" si="5"/>
        <v>9.777205840974814</v>
      </c>
      <c r="I45" s="75">
        <f t="shared" si="5"/>
        <v>11.0163232903697</v>
      </c>
      <c r="J45" s="75">
        <f t="shared" si="5"/>
        <v>6.521060299503017</v>
      </c>
      <c r="K45" s="75">
        <f t="shared" si="5"/>
        <v>7.897749623360621</v>
      </c>
      <c r="L45" s="75">
        <f t="shared" si="5"/>
        <v>7.998025535393441</v>
      </c>
      <c r="M45" s="75"/>
    </row>
    <row r="46" spans="1:12" s="4" customFormat="1" ht="15">
      <c r="A46" s="4" t="s">
        <v>30</v>
      </c>
      <c r="B46" s="252" t="s">
        <v>115</v>
      </c>
      <c r="C46" s="252" t="s">
        <v>115</v>
      </c>
      <c r="D46" s="75">
        <f>D12/D$38*100</f>
        <v>0.6310561886084162</v>
      </c>
      <c r="E46" s="75">
        <f t="shared" si="6"/>
        <v>0.5212386706140669</v>
      </c>
      <c r="F46" s="75"/>
      <c r="G46" s="75">
        <f t="shared" si="5"/>
        <v>0.4847761044959464</v>
      </c>
      <c r="H46" s="75">
        <f t="shared" si="5"/>
        <v>0.22616130169930948</v>
      </c>
      <c r="I46" s="75">
        <f t="shared" si="5"/>
        <v>0.8965039896764622</v>
      </c>
      <c r="J46" s="75">
        <f t="shared" si="5"/>
        <v>1.5664506577587622</v>
      </c>
      <c r="K46" s="75">
        <f t="shared" si="5"/>
        <v>1.0873290363358146</v>
      </c>
      <c r="L46" s="75">
        <f t="shared" si="5"/>
        <v>1.050011942411555</v>
      </c>
    </row>
    <row r="47" spans="1:12" s="4" customFormat="1" ht="12.75" customHeight="1">
      <c r="A47" s="4" t="s">
        <v>31</v>
      </c>
      <c r="B47" s="75">
        <f>B13/B$38*100</f>
        <v>2.395807112805207</v>
      </c>
      <c r="C47" s="75">
        <f>C13/C$38*100</f>
        <v>1.7768878218057578</v>
      </c>
      <c r="D47" s="75">
        <f>D13/D$38*100</f>
        <v>1.8087255417159234</v>
      </c>
      <c r="E47" s="75">
        <f t="shared" si="6"/>
        <v>1.8768336288534624</v>
      </c>
      <c r="F47" s="75"/>
      <c r="G47" s="75">
        <f t="shared" si="5"/>
        <v>1.6495669089971656</v>
      </c>
      <c r="H47" s="75">
        <f t="shared" si="5"/>
        <v>2.5689263151845094</v>
      </c>
      <c r="I47" s="75">
        <f t="shared" si="5"/>
        <v>1.970626079497375</v>
      </c>
      <c r="J47" s="75">
        <f t="shared" si="5"/>
        <v>2.3215922099054165</v>
      </c>
      <c r="K47" s="75">
        <f t="shared" si="5"/>
        <v>2.1903234623636743</v>
      </c>
      <c r="L47" s="75">
        <f t="shared" si="5"/>
        <v>2.1696579816033976</v>
      </c>
    </row>
    <row r="48" spans="1:12" s="4" customFormat="1" ht="15">
      <c r="A48" s="4" t="s">
        <v>32</v>
      </c>
      <c r="B48" s="252" t="s">
        <v>115</v>
      </c>
      <c r="C48" s="252" t="s">
        <v>115</v>
      </c>
      <c r="D48" s="252" t="s">
        <v>115</v>
      </c>
      <c r="E48" s="75">
        <f t="shared" si="6"/>
        <v>0</v>
      </c>
      <c r="F48" s="75"/>
      <c r="G48" s="75">
        <f t="shared" si="5"/>
        <v>0.7530631541074017</v>
      </c>
      <c r="H48" s="75">
        <f t="shared" si="5"/>
        <v>0.6292605629633728</v>
      </c>
      <c r="I48" s="75">
        <f t="shared" si="5"/>
        <v>0.31410358762387003</v>
      </c>
      <c r="J48" s="75">
        <f t="shared" si="5"/>
        <v>1.4144678660287113</v>
      </c>
      <c r="K48" s="75">
        <f t="shared" si="5"/>
        <v>0.9869195505988498</v>
      </c>
      <c r="L48" s="75">
        <f t="shared" si="5"/>
        <v>0.9218610867996475</v>
      </c>
    </row>
    <row r="49" spans="1:12" s="4" customFormat="1" ht="15">
      <c r="A49" s="4" t="s">
        <v>33</v>
      </c>
      <c r="B49" s="252" t="s">
        <v>115</v>
      </c>
      <c r="C49" s="252" t="s">
        <v>115</v>
      </c>
      <c r="D49" s="75">
        <f>D15/D$38*100</f>
        <v>1.920787392345668</v>
      </c>
      <c r="E49" s="75">
        <f t="shared" si="6"/>
        <v>1.5865285611512716</v>
      </c>
      <c r="F49" s="75"/>
      <c r="G49" s="75">
        <f t="shared" si="5"/>
        <v>1.6482387552862177</v>
      </c>
      <c r="H49" s="75">
        <f t="shared" si="5"/>
        <v>2.2536308534037075</v>
      </c>
      <c r="I49" s="75">
        <f t="shared" si="5"/>
        <v>1.8705990441528684</v>
      </c>
      <c r="J49" s="75">
        <f t="shared" si="5"/>
        <v>1.6292261586907397</v>
      </c>
      <c r="K49" s="75">
        <f t="shared" si="5"/>
        <v>1.7692453370268924</v>
      </c>
      <c r="L49" s="75">
        <f t="shared" si="5"/>
        <v>1.7572005125611116</v>
      </c>
    </row>
    <row r="50" spans="1:12" s="4" customFormat="1" ht="15">
      <c r="A50" s="4" t="s">
        <v>34</v>
      </c>
      <c r="B50" s="75">
        <f>B16/B$38*100</f>
        <v>2.087903196806789</v>
      </c>
      <c r="C50" s="75">
        <f>C16/C$38*100</f>
        <v>1.3375260628034584</v>
      </c>
      <c r="D50" s="75">
        <f>D16/D$38*100</f>
        <v>0.33304484125326667</v>
      </c>
      <c r="E50" s="75">
        <f t="shared" si="6"/>
        <v>0.5971378674946579</v>
      </c>
      <c r="F50" s="75"/>
      <c r="G50" s="75">
        <f aca="true" t="shared" si="7" ref="G50:L59">G16/G$38*100</f>
        <v>0.4130558041047653</v>
      </c>
      <c r="H50" s="75">
        <f t="shared" si="7"/>
        <v>0.6598588567226913</v>
      </c>
      <c r="I50" s="75">
        <f t="shared" si="7"/>
        <v>0.7749758158934174</v>
      </c>
      <c r="J50" s="75">
        <f t="shared" si="7"/>
        <v>1.1804731040752463</v>
      </c>
      <c r="K50" s="75">
        <f t="shared" si="7"/>
        <v>0.9156892124087551</v>
      </c>
      <c r="L50" s="75">
        <f t="shared" si="7"/>
        <v>0.8946900730881231</v>
      </c>
    </row>
    <row r="51" spans="1:12" s="4" customFormat="1" ht="15">
      <c r="A51" s="4" t="s">
        <v>35</v>
      </c>
      <c r="B51" s="75">
        <f>B17/B$38*100</f>
        <v>4.270200294868568</v>
      </c>
      <c r="C51" s="75">
        <f>C17/C$38*100</f>
        <v>6.658469135322449</v>
      </c>
      <c r="D51" s="75">
        <f>D17/D$38*100</f>
        <v>1.1059834423030415</v>
      </c>
      <c r="E51" s="75">
        <f t="shared" si="6"/>
        <v>1.7880438706985777</v>
      </c>
      <c r="F51" s="75"/>
      <c r="G51" s="75">
        <f t="shared" si="7"/>
        <v>1.8049608931780579</v>
      </c>
      <c r="H51" s="75">
        <f t="shared" si="7"/>
        <v>0.6558677749279975</v>
      </c>
      <c r="I51" s="75">
        <f t="shared" si="7"/>
        <v>1.110580541955826</v>
      </c>
      <c r="J51" s="75">
        <f t="shared" si="7"/>
        <v>4.156031848250983</v>
      </c>
      <c r="K51" s="75">
        <f t="shared" si="7"/>
        <v>2.7104898959935135</v>
      </c>
      <c r="L51" s="75">
        <f t="shared" si="7"/>
        <v>2.649681574477385</v>
      </c>
    </row>
    <row r="52" spans="1:12" s="4" customFormat="1" ht="15">
      <c r="A52" s="4" t="s">
        <v>80</v>
      </c>
      <c r="B52" s="252" t="s">
        <v>115</v>
      </c>
      <c r="C52" s="252" t="s">
        <v>115</v>
      </c>
      <c r="D52" s="252" t="s">
        <v>115</v>
      </c>
      <c r="E52" s="75">
        <f t="shared" si="6"/>
        <v>0</v>
      </c>
      <c r="F52" s="75"/>
      <c r="G52" s="75">
        <f t="shared" si="7"/>
        <v>4.510410002378723</v>
      </c>
      <c r="H52" s="75">
        <f t="shared" si="7"/>
        <v>2.348086455878125</v>
      </c>
      <c r="I52" s="75">
        <f t="shared" si="7"/>
        <v>1.7658978482782453</v>
      </c>
      <c r="J52" s="75">
        <f t="shared" si="7"/>
        <v>1.7878609508704248</v>
      </c>
      <c r="K52" s="75">
        <f t="shared" si="7"/>
        <v>2.24979909609569</v>
      </c>
      <c r="L52" s="75">
        <f t="shared" si="7"/>
        <v>2.10149068234504</v>
      </c>
    </row>
    <row r="53" spans="1:12" s="4" customFormat="1" ht="15">
      <c r="A53" s="4" t="s">
        <v>36</v>
      </c>
      <c r="B53" s="75">
        <f>B19/B$38*100</f>
        <v>8.834819662699127</v>
      </c>
      <c r="C53" s="75">
        <f aca="true" t="shared" si="8" ref="C53:D55">C19/C$38*100</f>
        <v>6.633196113786919</v>
      </c>
      <c r="D53" s="75">
        <f t="shared" si="8"/>
        <v>0.15729455947971707</v>
      </c>
      <c r="E53" s="75">
        <f t="shared" si="6"/>
        <v>1.5462254992418105</v>
      </c>
      <c r="F53" s="75"/>
      <c r="G53" s="75">
        <f t="shared" si="7"/>
        <v>1.5170171686445753</v>
      </c>
      <c r="H53" s="75">
        <f t="shared" si="7"/>
        <v>1.2774122464216293</v>
      </c>
      <c r="I53" s="75">
        <f t="shared" si="7"/>
        <v>1.104317166845469</v>
      </c>
      <c r="J53" s="75">
        <f t="shared" si="7"/>
        <v>2.4117172711849517</v>
      </c>
      <c r="K53" s="75">
        <f t="shared" si="7"/>
        <v>1.859689370044098</v>
      </c>
      <c r="L53" s="75">
        <f t="shared" si="7"/>
        <v>1.8390256007646533</v>
      </c>
    </row>
    <row r="54" spans="1:13" s="4" customFormat="1" ht="15">
      <c r="A54" s="4" t="s">
        <v>37</v>
      </c>
      <c r="B54" s="75">
        <f>B20/B$38*100</f>
        <v>4.564394620446618</v>
      </c>
      <c r="C54" s="75">
        <f t="shared" si="8"/>
        <v>3.9547418506656045</v>
      </c>
      <c r="D54" s="75">
        <f t="shared" si="8"/>
        <v>3.108494068104207</v>
      </c>
      <c r="E54" s="75">
        <f t="shared" si="6"/>
        <v>3.3283054795582983</v>
      </c>
      <c r="F54" s="75"/>
      <c r="G54" s="75">
        <f t="shared" si="7"/>
        <v>4.275326795540963</v>
      </c>
      <c r="H54" s="75">
        <f t="shared" si="7"/>
        <v>4.319680862456812</v>
      </c>
      <c r="I54" s="75">
        <f t="shared" si="7"/>
        <v>3.2906090132024475</v>
      </c>
      <c r="J54" s="75">
        <f t="shared" si="7"/>
        <v>5.314258195855599</v>
      </c>
      <c r="K54" s="75">
        <f t="shared" si="7"/>
        <v>4.6169489475519345</v>
      </c>
      <c r="L54" s="75">
        <f t="shared" si="7"/>
        <v>4.53200062085026</v>
      </c>
      <c r="M54" s="75"/>
    </row>
    <row r="55" spans="1:12" s="4" customFormat="1" ht="15">
      <c r="A55" s="4" t="s">
        <v>38</v>
      </c>
      <c r="B55" s="75">
        <f>B21/B$38*100</f>
        <v>11.781707360926317</v>
      </c>
      <c r="C55" s="75">
        <f t="shared" si="8"/>
        <v>26.318449791740584</v>
      </c>
      <c r="D55" s="75">
        <f t="shared" si="8"/>
        <v>0.06737957560257127</v>
      </c>
      <c r="E55" s="75">
        <f t="shared" si="6"/>
        <v>2.9058320429400113</v>
      </c>
      <c r="F55" s="75"/>
      <c r="G55" s="75">
        <f t="shared" si="7"/>
        <v>1.7863667412247886</v>
      </c>
      <c r="H55" s="75">
        <f t="shared" si="7"/>
        <v>0.847439701073295</v>
      </c>
      <c r="I55" s="75">
        <f t="shared" si="7"/>
        <v>1.957538430013047</v>
      </c>
      <c r="J55" s="75">
        <f t="shared" si="7"/>
        <v>5.216974524820663</v>
      </c>
      <c r="K55" s="75">
        <f t="shared" si="7"/>
        <v>3.451481702390738</v>
      </c>
      <c r="L55" s="75">
        <f t="shared" si="7"/>
        <v>3.4155120748817067</v>
      </c>
    </row>
    <row r="56" spans="1:13" s="4" customFormat="1" ht="15">
      <c r="A56" s="4" t="s">
        <v>39</v>
      </c>
      <c r="B56" s="252" t="s">
        <v>115</v>
      </c>
      <c r="C56" s="252" t="s">
        <v>115</v>
      </c>
      <c r="D56" s="75">
        <f aca="true" t="shared" si="9" ref="D56:D61">D22/D$38*100</f>
        <v>31.104723920202648</v>
      </c>
      <c r="E56" s="75">
        <f t="shared" si="6"/>
        <v>25.691824656273987</v>
      </c>
      <c r="F56" s="75"/>
      <c r="G56" s="75">
        <f t="shared" si="7"/>
        <v>18.591495645847278</v>
      </c>
      <c r="H56" s="75">
        <f t="shared" si="7"/>
        <v>13.06014999283601</v>
      </c>
      <c r="I56" s="75">
        <f t="shared" si="7"/>
        <v>13.51767225309869</v>
      </c>
      <c r="J56" s="75">
        <f t="shared" si="7"/>
        <v>10.787474239100357</v>
      </c>
      <c r="K56" s="75">
        <f t="shared" si="7"/>
        <v>12.770123693539526</v>
      </c>
      <c r="L56" s="75">
        <f t="shared" si="7"/>
        <v>13.621931739897594</v>
      </c>
      <c r="M56" s="75"/>
    </row>
    <row r="57" spans="1:13" s="4" customFormat="1" ht="15">
      <c r="A57" s="4" t="s">
        <v>40</v>
      </c>
      <c r="B57" s="252" t="s">
        <v>115</v>
      </c>
      <c r="C57" s="252" t="s">
        <v>115</v>
      </c>
      <c r="D57" s="75">
        <f t="shared" si="9"/>
        <v>0.9083776999183742</v>
      </c>
      <c r="E57" s="75">
        <f t="shared" si="6"/>
        <v>0.750300200311834</v>
      </c>
      <c r="F57" s="75"/>
      <c r="G57" s="75">
        <f t="shared" si="7"/>
        <v>0.3121161220727326</v>
      </c>
      <c r="H57" s="75">
        <f t="shared" si="7"/>
        <v>0.30199185579848975</v>
      </c>
      <c r="I57" s="75">
        <f t="shared" si="7"/>
        <v>0.5048093372526482</v>
      </c>
      <c r="J57" s="75">
        <f t="shared" si="7"/>
        <v>1.0007736438050532</v>
      </c>
      <c r="K57" s="75">
        <f t="shared" si="7"/>
        <v>0.7036402326616126</v>
      </c>
      <c r="L57" s="75">
        <f t="shared" si="7"/>
        <v>0.706716092101627</v>
      </c>
      <c r="M57" s="75"/>
    </row>
    <row r="58" spans="1:12" s="4" customFormat="1" ht="15">
      <c r="A58" s="4" t="s">
        <v>41</v>
      </c>
      <c r="B58" s="252" t="s">
        <v>115</v>
      </c>
      <c r="C58" s="252" t="s">
        <v>115</v>
      </c>
      <c r="D58" s="75">
        <f t="shared" si="9"/>
        <v>1.2502294823364173</v>
      </c>
      <c r="E58" s="75">
        <f t="shared" si="6"/>
        <v>1.0326623288055905</v>
      </c>
      <c r="F58" s="75"/>
      <c r="G58" s="75">
        <f t="shared" si="7"/>
        <v>1.229870336337661</v>
      </c>
      <c r="H58" s="75">
        <f t="shared" si="7"/>
        <v>1.3303605982312323</v>
      </c>
      <c r="I58" s="75">
        <f t="shared" si="7"/>
        <v>0.9460500912957036</v>
      </c>
      <c r="J58" s="75">
        <f t="shared" si="7"/>
        <v>1.46476168841281</v>
      </c>
      <c r="K58" s="75">
        <f t="shared" si="7"/>
        <v>1.3075881901986675</v>
      </c>
      <c r="L58" s="75">
        <f t="shared" si="7"/>
        <v>1.289464874888871</v>
      </c>
    </row>
    <row r="59" spans="1:13" s="4" customFormat="1" ht="15">
      <c r="A59" s="4" t="s">
        <v>42</v>
      </c>
      <c r="B59" s="252" t="s">
        <v>115</v>
      </c>
      <c r="C59" s="252" t="s">
        <v>115</v>
      </c>
      <c r="D59" s="75">
        <f t="shared" si="9"/>
        <v>3.1875298893660404</v>
      </c>
      <c r="E59" s="75">
        <f t="shared" si="6"/>
        <v>2.6328302805167993</v>
      </c>
      <c r="F59" s="75"/>
      <c r="G59" s="75">
        <f t="shared" si="7"/>
        <v>2.087857633609939</v>
      </c>
      <c r="H59" s="75">
        <f t="shared" si="7"/>
        <v>3.9431888131573722</v>
      </c>
      <c r="I59" s="75">
        <f t="shared" si="7"/>
        <v>3.4196158438336797</v>
      </c>
      <c r="J59" s="75">
        <f t="shared" si="7"/>
        <v>2.7132966513932533</v>
      </c>
      <c r="K59" s="75">
        <f t="shared" si="7"/>
        <v>2.94150720904247</v>
      </c>
      <c r="L59" s="75">
        <f t="shared" si="7"/>
        <v>2.921158998524247</v>
      </c>
      <c r="M59" s="75"/>
    </row>
    <row r="60" spans="1:13" s="4" customFormat="1" ht="15">
      <c r="A60" s="4" t="s">
        <v>43</v>
      </c>
      <c r="B60" s="252" t="s">
        <v>115</v>
      </c>
      <c r="C60" s="252" t="s">
        <v>115</v>
      </c>
      <c r="D60" s="75">
        <f t="shared" si="9"/>
        <v>2.1821787012546343</v>
      </c>
      <c r="E60" s="75">
        <f t="shared" si="6"/>
        <v>1.8024320905441582</v>
      </c>
      <c r="F60" s="75"/>
      <c r="G60" s="75">
        <f aca="true" t="shared" si="10" ref="G60:L69">G26/G$38*100</f>
        <v>1.342763401768224</v>
      </c>
      <c r="H60" s="75">
        <f t="shared" si="10"/>
        <v>2.059398206061948</v>
      </c>
      <c r="I60" s="75">
        <f t="shared" si="10"/>
        <v>1.9304282989383674</v>
      </c>
      <c r="J60" s="75">
        <f t="shared" si="10"/>
        <v>2.1270248678355443</v>
      </c>
      <c r="K60" s="75">
        <f t="shared" si="10"/>
        <v>1.9662895158039433</v>
      </c>
      <c r="L60" s="75">
        <f t="shared" si="10"/>
        <v>1.9554879136236794</v>
      </c>
      <c r="M60" s="75"/>
    </row>
    <row r="61" spans="1:13" s="4" customFormat="1" ht="15">
      <c r="A61" s="4" t="s">
        <v>44</v>
      </c>
      <c r="B61" s="75">
        <f>B27/B$38*100</f>
        <v>12.867012477974754</v>
      </c>
      <c r="C61" s="75">
        <f>C27/C$38*100</f>
        <v>14.14560176522335</v>
      </c>
      <c r="D61" s="75">
        <f t="shared" si="9"/>
        <v>0.6555019260327032</v>
      </c>
      <c r="E61" s="75">
        <f t="shared" si="6"/>
        <v>2.8509268099604994</v>
      </c>
      <c r="F61" s="75"/>
      <c r="G61" s="75">
        <f t="shared" si="10"/>
        <v>1.955042262515159</v>
      </c>
      <c r="H61" s="75">
        <f t="shared" si="10"/>
        <v>1.9157192614529746</v>
      </c>
      <c r="I61" s="75">
        <f t="shared" si="10"/>
        <v>2.2987521487115963</v>
      </c>
      <c r="J61" s="75">
        <f t="shared" si="10"/>
        <v>3.8818020283902395</v>
      </c>
      <c r="K61" s="75">
        <f t="shared" si="10"/>
        <v>3.009453477586281</v>
      </c>
      <c r="L61" s="75">
        <f t="shared" si="10"/>
        <v>2.9990032828762048</v>
      </c>
      <c r="M61" s="75"/>
    </row>
    <row r="62" spans="1:12" s="4" customFormat="1" ht="15">
      <c r="A62" s="4" t="s">
        <v>45</v>
      </c>
      <c r="B62" s="252" t="s">
        <v>115</v>
      </c>
      <c r="C62" s="252" t="s">
        <v>115</v>
      </c>
      <c r="D62" s="252" t="s">
        <v>115</v>
      </c>
      <c r="E62" s="75">
        <f t="shared" si="6"/>
        <v>0</v>
      </c>
      <c r="F62" s="75"/>
      <c r="G62" s="75">
        <f t="shared" si="10"/>
        <v>2.133014859782164</v>
      </c>
      <c r="H62" s="75">
        <f t="shared" si="10"/>
        <v>2.724578505177564</v>
      </c>
      <c r="I62" s="75">
        <f t="shared" si="10"/>
        <v>1.4938617054254293</v>
      </c>
      <c r="J62" s="75">
        <f t="shared" si="10"/>
        <v>1.6861279285413626</v>
      </c>
      <c r="K62" s="75">
        <f t="shared" si="10"/>
        <v>1.858141705038378</v>
      </c>
      <c r="L62" s="75">
        <f t="shared" si="10"/>
        <v>1.7356516350243891</v>
      </c>
    </row>
    <row r="63" spans="1:13" s="4" customFormat="1" ht="15">
      <c r="A63" s="4" t="s">
        <v>46</v>
      </c>
      <c r="B63" s="75">
        <f aca="true" t="shared" si="11" ref="B63:D64">B29/B$38*100</f>
        <v>8.696600021575748</v>
      </c>
      <c r="C63" s="75">
        <f t="shared" si="11"/>
        <v>6.842184561099959</v>
      </c>
      <c r="D63" s="75">
        <f t="shared" si="11"/>
        <v>6.727758345305272</v>
      </c>
      <c r="E63" s="75">
        <f t="shared" si="6"/>
        <v>6.968337893168805</v>
      </c>
      <c r="F63" s="75"/>
      <c r="G63" s="75">
        <f t="shared" si="10"/>
        <v>5.778796796333871</v>
      </c>
      <c r="H63" s="75">
        <f t="shared" si="10"/>
        <v>4.8824233955086225</v>
      </c>
      <c r="I63" s="75">
        <f t="shared" si="10"/>
        <v>5.965163668535459</v>
      </c>
      <c r="J63" s="75">
        <f t="shared" si="10"/>
        <v>3.904929844523073</v>
      </c>
      <c r="K63" s="75">
        <f t="shared" si="10"/>
        <v>4.7258517168568765</v>
      </c>
      <c r="L63" s="75">
        <f t="shared" si="10"/>
        <v>4.873678057548251</v>
      </c>
      <c r="M63" s="22"/>
    </row>
    <row r="64" spans="1:12" s="4" customFormat="1" ht="15">
      <c r="A64" s="4" t="s">
        <v>47</v>
      </c>
      <c r="B64" s="75">
        <f t="shared" si="11"/>
        <v>4.123665000539393</v>
      </c>
      <c r="C64" s="75">
        <f t="shared" si="11"/>
        <v>5.727255495667135</v>
      </c>
      <c r="D64" s="75">
        <f t="shared" si="11"/>
        <v>0.849902200861073</v>
      </c>
      <c r="E64" s="75">
        <f t="shared" si="6"/>
        <v>1.5078479983525757</v>
      </c>
      <c r="F64" s="75"/>
      <c r="G64" s="75">
        <f t="shared" si="10"/>
        <v>0.8659562195379645</v>
      </c>
      <c r="H64" s="75">
        <f t="shared" si="10"/>
        <v>0.8288146526980577</v>
      </c>
      <c r="I64" s="75">
        <f t="shared" si="10"/>
        <v>1.3050256200086978</v>
      </c>
      <c r="J64" s="75">
        <f t="shared" si="10"/>
        <v>2.0525019047408577</v>
      </c>
      <c r="K64" s="75">
        <f t="shared" si="10"/>
        <v>1.559366863080455</v>
      </c>
      <c r="L64" s="75">
        <f t="shared" si="10"/>
        <v>1.5559707015657291</v>
      </c>
    </row>
    <row r="65" spans="1:12" s="4" customFormat="1" ht="15">
      <c r="A65" s="4" t="s">
        <v>27</v>
      </c>
      <c r="B65" s="252" t="s">
        <v>115</v>
      </c>
      <c r="C65" s="252" t="s">
        <v>115</v>
      </c>
      <c r="D65" s="75">
        <f>D31/D$38*100</f>
        <v>5.3923411342757435</v>
      </c>
      <c r="E65" s="75">
        <f t="shared" si="6"/>
        <v>4.4539563592989895</v>
      </c>
      <c r="F65" s="75"/>
      <c r="G65" s="75">
        <f t="shared" si="10"/>
        <v>6.088256610984707</v>
      </c>
      <c r="H65" s="75">
        <f t="shared" si="10"/>
        <v>7.972851065199775</v>
      </c>
      <c r="I65" s="75">
        <f t="shared" si="10"/>
        <v>7.187924063214096</v>
      </c>
      <c r="J65" s="75">
        <f t="shared" si="10"/>
        <v>4.226516621227239</v>
      </c>
      <c r="K65" s="75">
        <f t="shared" si="10"/>
        <v>5.620477586017049</v>
      </c>
      <c r="L65" s="75">
        <f t="shared" si="10"/>
        <v>5.543579647422778</v>
      </c>
    </row>
    <row r="66" spans="1:12" s="4" customFormat="1" ht="15">
      <c r="A66" s="4" t="s">
        <v>48</v>
      </c>
      <c r="B66" s="252" t="s">
        <v>115</v>
      </c>
      <c r="C66" s="252" t="s">
        <v>115</v>
      </c>
      <c r="D66" s="252" t="s">
        <v>115</v>
      </c>
      <c r="E66" s="75">
        <f t="shared" si="6"/>
        <v>0</v>
      </c>
      <c r="F66" s="75"/>
      <c r="G66" s="75">
        <f t="shared" si="10"/>
        <v>2.983033234788755</v>
      </c>
      <c r="H66" s="75">
        <f t="shared" si="10"/>
        <v>2.1511930873399026</v>
      </c>
      <c r="I66" s="75">
        <f t="shared" si="10"/>
        <v>1.8556417304564938</v>
      </c>
      <c r="J66" s="75">
        <f t="shared" si="10"/>
        <v>1.7099899610593656</v>
      </c>
      <c r="K66" s="75">
        <f t="shared" si="10"/>
        <v>1.9828986036702079</v>
      </c>
      <c r="L66" s="75">
        <f t="shared" si="10"/>
        <v>1.8521844669950462</v>
      </c>
    </row>
    <row r="67" spans="1:12" s="4" customFormat="1" ht="15">
      <c r="A67" s="4" t="s">
        <v>49</v>
      </c>
      <c r="B67" s="252" t="s">
        <v>115</v>
      </c>
      <c r="C67" s="252" t="s">
        <v>115</v>
      </c>
      <c r="D67" s="75">
        <f>D33/D$38*100</f>
        <v>3.009934035363108</v>
      </c>
      <c r="E67" s="75">
        <f t="shared" si="6"/>
        <v>2.486139972239829</v>
      </c>
      <c r="F67" s="75"/>
      <c r="G67" s="75">
        <f t="shared" si="10"/>
        <v>1.4330778541126745</v>
      </c>
      <c r="H67" s="75">
        <f t="shared" si="10"/>
        <v>2.7738018473121193</v>
      </c>
      <c r="I67" s="75">
        <f t="shared" si="10"/>
        <v>2.1669408217622936</v>
      </c>
      <c r="J67" s="75">
        <f t="shared" si="10"/>
        <v>2.3036039084687676</v>
      </c>
      <c r="K67" s="75">
        <f t="shared" si="10"/>
        <v>2.21901188685995</v>
      </c>
      <c r="L67" s="75">
        <f t="shared" si="10"/>
        <v>2.236621167030652</v>
      </c>
    </row>
    <row r="68" spans="1:12" s="4" customFormat="1" ht="15">
      <c r="A68" s="4" t="s">
        <v>50</v>
      </c>
      <c r="B68" s="75">
        <f>B34/B$38*100</f>
        <v>14.511713833650978</v>
      </c>
      <c r="C68" s="75">
        <f>C34/C$38*100</f>
        <v>10.336179788387048</v>
      </c>
      <c r="D68" s="75">
        <f>D34/D$38*100</f>
        <v>1.8229396857281908</v>
      </c>
      <c r="E68" s="75">
        <f t="shared" si="6"/>
        <v>3.8012981490544697</v>
      </c>
      <c r="F68" s="75"/>
      <c r="G68" s="75">
        <f t="shared" si="10"/>
        <v>3.5607800990510476</v>
      </c>
      <c r="H68" s="75">
        <f t="shared" si="10"/>
        <v>3.2819995958364503</v>
      </c>
      <c r="I68" s="75">
        <f t="shared" si="10"/>
        <v>4.1506545507439965</v>
      </c>
      <c r="J68" s="75">
        <f t="shared" si="10"/>
        <v>4.818662135866302</v>
      </c>
      <c r="K68" s="75">
        <f t="shared" si="10"/>
        <v>4.287032065844764</v>
      </c>
      <c r="L68" s="75">
        <f t="shared" si="10"/>
        <v>4.255012128229415</v>
      </c>
    </row>
    <row r="69" spans="1:12" s="4" customFormat="1" ht="15">
      <c r="A69" s="4" t="s">
        <v>51</v>
      </c>
      <c r="B69" s="75">
        <f>B35/B$38*100</f>
        <v>4.802851594807437</v>
      </c>
      <c r="C69" s="75">
        <f>C35/C$38*100</f>
        <v>3.07164415585678</v>
      </c>
      <c r="D69" s="75">
        <f>D35/D$38*100</f>
        <v>3.7745837506107405</v>
      </c>
      <c r="E69" s="75">
        <f t="shared" si="6"/>
        <v>3.8582626625695013</v>
      </c>
      <c r="F69" s="75"/>
      <c r="G69" s="75">
        <f t="shared" si="10"/>
        <v>2.81701402092028</v>
      </c>
      <c r="H69" s="75">
        <f t="shared" si="10"/>
        <v>2.140683238613876</v>
      </c>
      <c r="I69" s="75">
        <f t="shared" si="10"/>
        <v>1.594823572875959</v>
      </c>
      <c r="J69" s="75">
        <f t="shared" si="10"/>
        <v>1.739432038104656</v>
      </c>
      <c r="K69" s="75">
        <f t="shared" si="10"/>
        <v>1.9202936667924804</v>
      </c>
      <c r="L69" s="75">
        <f t="shared" si="10"/>
        <v>2.048046010617499</v>
      </c>
    </row>
    <row r="70" spans="1:12" s="4" customFormat="1" ht="15">
      <c r="A70" s="4" t="s">
        <v>52</v>
      </c>
      <c r="B70" s="252" t="s">
        <v>115</v>
      </c>
      <c r="C70" s="252" t="s">
        <v>115</v>
      </c>
      <c r="D70" s="75">
        <f>D36/D$38*100</f>
        <v>0.7322064981626846</v>
      </c>
      <c r="E70" s="75">
        <f t="shared" si="6"/>
        <v>0.6047866237694461</v>
      </c>
      <c r="F70" s="75"/>
      <c r="G70" s="75">
        <f aca="true" t="shared" si="12" ref="G70:L72">G36/G$38*100</f>
        <v>0.612278860746935</v>
      </c>
      <c r="H70" s="75">
        <f t="shared" si="12"/>
        <v>0.11041992965319229</v>
      </c>
      <c r="I70" s="75">
        <f t="shared" si="12"/>
        <v>0.25146983652030064</v>
      </c>
      <c r="J70" s="75">
        <f t="shared" si="12"/>
        <v>1.0895771155912832</v>
      </c>
      <c r="K70" s="75">
        <f t="shared" si="12"/>
        <v>0.7136245593448559</v>
      </c>
      <c r="L70" s="75">
        <f t="shared" si="12"/>
        <v>0.7064498824552189</v>
      </c>
    </row>
    <row r="71" spans="1:12" s="4" customFormat="1" ht="15">
      <c r="A71" s="4" t="s">
        <v>53</v>
      </c>
      <c r="B71" s="75">
        <f>B37/B$38*100</f>
        <v>7.799633212269409</v>
      </c>
      <c r="C71" s="75">
        <f>C37/C$38*100</f>
        <v>6.173907549343145</v>
      </c>
      <c r="D71" s="252" t="s">
        <v>115</v>
      </c>
      <c r="E71" s="75">
        <f t="shared" si="6"/>
        <v>1.2678482123038002</v>
      </c>
      <c r="F71" s="75"/>
      <c r="G71" s="75">
        <f t="shared" si="12"/>
        <v>2.0187936406406535</v>
      </c>
      <c r="H71" s="75">
        <f t="shared" si="12"/>
        <v>1.557852260528773</v>
      </c>
      <c r="I71" s="75">
        <f t="shared" si="12"/>
        <v>1.0872097393052405</v>
      </c>
      <c r="J71" s="75">
        <f t="shared" si="12"/>
        <v>2.4669670541689435</v>
      </c>
      <c r="K71" s="75">
        <f t="shared" si="12"/>
        <v>1.9957328988395946</v>
      </c>
      <c r="L71" s="75">
        <f t="shared" si="12"/>
        <v>1.9477502040999395</v>
      </c>
    </row>
    <row r="72" spans="1:12" s="4" customFormat="1" ht="15">
      <c r="A72" s="78" t="s">
        <v>6</v>
      </c>
      <c r="B72" s="253">
        <f>B38/B$38*100</f>
        <v>100</v>
      </c>
      <c r="C72" s="253">
        <f>C38/C$38*100</f>
        <v>100</v>
      </c>
      <c r="D72" s="253">
        <f>D38/D$38*100</f>
        <v>100</v>
      </c>
      <c r="E72" s="253">
        <f t="shared" si="6"/>
        <v>100</v>
      </c>
      <c r="F72" s="253"/>
      <c r="G72" s="253">
        <f t="shared" si="12"/>
        <v>100</v>
      </c>
      <c r="H72" s="253">
        <f t="shared" si="12"/>
        <v>100</v>
      </c>
      <c r="I72" s="253">
        <f t="shared" si="12"/>
        <v>100</v>
      </c>
      <c r="J72" s="253">
        <f t="shared" si="12"/>
        <v>100</v>
      </c>
      <c r="K72" s="253">
        <f t="shared" si="12"/>
        <v>100</v>
      </c>
      <c r="L72" s="253">
        <f t="shared" si="12"/>
        <v>100</v>
      </c>
    </row>
    <row r="73" spans="1:12" ht="21" customHeight="1">
      <c r="A73" s="133" t="s">
        <v>125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</row>
    <row r="74" spans="1:5" ht="14.25" customHeight="1">
      <c r="A74" s="133" t="s">
        <v>121</v>
      </c>
      <c r="B74" s="203"/>
      <c r="C74" s="203"/>
      <c r="D74" s="203"/>
      <c r="E74" s="203"/>
    </row>
    <row r="75" ht="12.75">
      <c r="A75" s="133" t="s">
        <v>143</v>
      </c>
    </row>
    <row r="76" ht="12.75">
      <c r="A76" s="133" t="s">
        <v>215</v>
      </c>
    </row>
    <row r="77" ht="12.75">
      <c r="A77" s="133" t="s">
        <v>170</v>
      </c>
    </row>
    <row r="78" ht="12.75">
      <c r="A78" s="133" t="s">
        <v>179</v>
      </c>
    </row>
  </sheetData>
  <sheetProtection/>
  <printOptions/>
  <pageMargins left="0.7480314960629921" right="0.7480314960629921" top="0.984251968503937" bottom="0.7874015748031497" header="0.5118110236220472" footer="0.5118110236220472"/>
  <pageSetup fitToHeight="1" fitToWidth="1" horizontalDpi="300" verticalDpi="300" orientation="portrait" paperSize="9" scale="62" r:id="rId1"/>
  <headerFooter alignWithMargins="0">
    <oddHeader>&amp;R&amp;"Arial,Bold"&amp;17ROAD NETWORK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6.7109375" style="133" customWidth="1"/>
    <col min="2" max="5" width="11.00390625" style="133" hidden="1" customWidth="1"/>
    <col min="6" max="6" width="15.140625" style="133" hidden="1" customWidth="1"/>
    <col min="7" max="7" width="16.00390625" style="133" hidden="1" customWidth="1"/>
    <col min="8" max="8" width="15.00390625" style="133" hidden="1" customWidth="1"/>
    <col min="9" max="9" width="9.7109375" style="133" hidden="1" customWidth="1"/>
    <col min="10" max="10" width="14.140625" style="133" hidden="1" customWidth="1"/>
    <col min="11" max="11" width="16.00390625" style="133" hidden="1" customWidth="1"/>
    <col min="12" max="13" width="14.140625" style="133" hidden="1" customWidth="1"/>
    <col min="14" max="14" width="14.140625" style="133" customWidth="1"/>
    <col min="15" max="15" width="14.57421875" style="133" customWidth="1"/>
    <col min="16" max="16" width="11.28125" style="133" customWidth="1"/>
    <col min="17" max="17" width="11.57421875" style="133" customWidth="1"/>
    <col min="18" max="18" width="10.7109375" style="133" customWidth="1"/>
    <col min="19" max="19" width="10.00390625" style="133" customWidth="1"/>
    <col min="20" max="20" width="10.57421875" style="133" customWidth="1"/>
    <col min="21" max="21" width="11.57421875" style="133" customWidth="1"/>
    <col min="22" max="22" width="11.7109375" style="133" customWidth="1"/>
    <col min="23" max="23" width="12.140625" style="133" customWidth="1"/>
    <col min="24" max="24" width="11.140625" style="133" customWidth="1"/>
    <col min="25" max="25" width="11.8515625" style="133" customWidth="1"/>
    <col min="26" max="16384" width="9.140625" style="133" customWidth="1"/>
  </cols>
  <sheetData>
    <row r="1" spans="1:16" s="18" customFormat="1" ht="20.25">
      <c r="A1" s="69" t="s">
        <v>141</v>
      </c>
      <c r="B1" s="69"/>
      <c r="C1" s="69"/>
      <c r="D1" s="69"/>
      <c r="E1" s="69"/>
      <c r="F1" s="4"/>
      <c r="G1" s="4"/>
      <c r="H1" s="4"/>
      <c r="I1" s="4"/>
      <c r="P1" s="83"/>
    </row>
    <row r="2" spans="1:18" s="24" customFormat="1" ht="14.25" customHeight="1">
      <c r="A2" s="23" t="s">
        <v>116</v>
      </c>
      <c r="B2" s="23"/>
      <c r="C2" s="23"/>
      <c r="D2" s="23"/>
      <c r="E2" s="23"/>
      <c r="F2" s="18"/>
      <c r="G2" s="18"/>
      <c r="H2" s="18"/>
      <c r="I2" s="18"/>
      <c r="J2" s="18" t="s">
        <v>116</v>
      </c>
      <c r="K2" s="18"/>
      <c r="L2" s="19"/>
      <c r="M2" s="19"/>
      <c r="N2" s="19"/>
      <c r="O2" s="19"/>
      <c r="P2" s="19"/>
      <c r="Q2" s="18"/>
      <c r="R2" s="18"/>
    </row>
    <row r="3" spans="1:25" ht="31.5" customHeight="1">
      <c r="A3" s="66"/>
      <c r="B3" s="66" t="s">
        <v>148</v>
      </c>
      <c r="C3" s="66" t="s">
        <v>70</v>
      </c>
      <c r="D3" s="66" t="s">
        <v>71</v>
      </c>
      <c r="E3" s="66" t="s">
        <v>85</v>
      </c>
      <c r="F3" s="81" t="s">
        <v>86</v>
      </c>
      <c r="G3" s="81" t="s">
        <v>87</v>
      </c>
      <c r="H3" s="82" t="s">
        <v>99</v>
      </c>
      <c r="I3" s="82" t="s">
        <v>110</v>
      </c>
      <c r="J3" s="82" t="s">
        <v>111</v>
      </c>
      <c r="K3" s="82" t="s">
        <v>114</v>
      </c>
      <c r="L3" s="82" t="s">
        <v>122</v>
      </c>
      <c r="M3" s="82" t="s">
        <v>132</v>
      </c>
      <c r="N3" s="82" t="s">
        <v>138</v>
      </c>
      <c r="O3" s="82" t="s">
        <v>139</v>
      </c>
      <c r="P3" s="82" t="s">
        <v>150</v>
      </c>
      <c r="Q3" s="82" t="s">
        <v>166</v>
      </c>
      <c r="R3" s="139" t="s">
        <v>165</v>
      </c>
      <c r="S3" s="82" t="s">
        <v>185</v>
      </c>
      <c r="T3" s="82" t="s">
        <v>208</v>
      </c>
      <c r="U3" s="82" t="s">
        <v>216</v>
      </c>
      <c r="V3" s="82" t="s">
        <v>218</v>
      </c>
      <c r="W3" s="82" t="s">
        <v>219</v>
      </c>
      <c r="X3" s="82" t="s">
        <v>231</v>
      </c>
      <c r="Y3" s="82" t="s">
        <v>232</v>
      </c>
    </row>
    <row r="4" spans="1:12" ht="12.75" customHeight="1">
      <c r="A4" s="5"/>
      <c r="B4" s="5"/>
      <c r="C4" s="5"/>
      <c r="D4" s="5"/>
      <c r="E4" s="5"/>
      <c r="H4" s="10"/>
      <c r="I4" s="10"/>
      <c r="J4" s="10"/>
      <c r="K4" s="10"/>
      <c r="L4" s="4"/>
    </row>
    <row r="5" spans="1:25" ht="15.75">
      <c r="A5" s="61" t="s">
        <v>72</v>
      </c>
      <c r="B5" s="61"/>
      <c r="C5" s="61"/>
      <c r="D5" s="61"/>
      <c r="E5" s="61"/>
      <c r="H5" s="3"/>
      <c r="I5" s="3"/>
      <c r="J5" s="3"/>
      <c r="M5" s="28"/>
      <c r="N5" s="28"/>
      <c r="O5" s="28"/>
      <c r="P5" s="28"/>
      <c r="Q5" s="28"/>
      <c r="S5" s="28"/>
      <c r="Y5" s="28" t="s">
        <v>78</v>
      </c>
    </row>
    <row r="6" spans="1:12" ht="15">
      <c r="A6" s="4" t="s">
        <v>55</v>
      </c>
      <c r="B6" s="4"/>
      <c r="C6" s="4"/>
      <c r="D6" s="4"/>
      <c r="E6" s="4"/>
      <c r="L6" s="4"/>
    </row>
    <row r="7" spans="1:25" ht="15">
      <c r="A7" s="4" t="s">
        <v>56</v>
      </c>
      <c r="B7" s="124">
        <v>237.42857142857142</v>
      </c>
      <c r="C7" s="30">
        <v>67.42857142857143</v>
      </c>
      <c r="D7" s="30">
        <v>40</v>
      </c>
      <c r="E7" s="30">
        <v>23.7</v>
      </c>
      <c r="F7" s="30">
        <v>32</v>
      </c>
      <c r="G7" s="44">
        <v>5</v>
      </c>
      <c r="H7" s="44">
        <v>9</v>
      </c>
      <c r="I7" s="44">
        <v>24</v>
      </c>
      <c r="J7" s="44">
        <v>89.3</v>
      </c>
      <c r="K7" s="41">
        <v>108</v>
      </c>
      <c r="L7" s="41">
        <v>7.15</v>
      </c>
      <c r="M7" s="41">
        <v>0</v>
      </c>
      <c r="N7" s="41">
        <v>58</v>
      </c>
      <c r="O7" s="41">
        <v>0</v>
      </c>
      <c r="P7" s="41">
        <v>52</v>
      </c>
      <c r="Q7" s="41">
        <v>132</v>
      </c>
      <c r="R7" s="41">
        <v>0</v>
      </c>
      <c r="S7" s="41">
        <v>18</v>
      </c>
      <c r="T7" s="41">
        <v>3</v>
      </c>
      <c r="U7" s="41">
        <v>3</v>
      </c>
      <c r="V7" s="189">
        <v>0.483</v>
      </c>
      <c r="W7" s="41">
        <v>85.882</v>
      </c>
      <c r="X7" s="41">
        <v>124.7</v>
      </c>
      <c r="Y7" s="41">
        <v>2</v>
      </c>
    </row>
    <row r="8" spans="1:28" ht="15">
      <c r="A8" s="4" t="s">
        <v>57</v>
      </c>
      <c r="B8" s="124">
        <v>21</v>
      </c>
      <c r="C8" s="30">
        <v>29</v>
      </c>
      <c r="D8" s="30">
        <v>28</v>
      </c>
      <c r="E8" s="30">
        <v>43</v>
      </c>
      <c r="F8" s="30">
        <v>31</v>
      </c>
      <c r="G8" s="44">
        <v>53</v>
      </c>
      <c r="H8" s="44">
        <v>58</v>
      </c>
      <c r="I8" s="44">
        <v>86</v>
      </c>
      <c r="J8" s="44">
        <v>105</v>
      </c>
      <c r="K8" s="41">
        <v>142</v>
      </c>
      <c r="L8" s="41">
        <v>114</v>
      </c>
      <c r="M8" s="41">
        <v>80</v>
      </c>
      <c r="N8" s="41">
        <v>56</v>
      </c>
      <c r="O8" s="41">
        <v>51</v>
      </c>
      <c r="P8" s="41">
        <v>27</v>
      </c>
      <c r="Q8" s="41">
        <v>57</v>
      </c>
      <c r="R8" s="41">
        <v>1</v>
      </c>
      <c r="S8" s="41">
        <v>9</v>
      </c>
      <c r="T8" s="41">
        <v>7</v>
      </c>
      <c r="U8" s="41">
        <v>0</v>
      </c>
      <c r="V8" s="41">
        <v>1.164</v>
      </c>
      <c r="W8" s="41">
        <v>1</v>
      </c>
      <c r="X8" s="41">
        <v>0.97</v>
      </c>
      <c r="Y8" s="41">
        <v>3.1</v>
      </c>
      <c r="AB8" s="189"/>
    </row>
    <row r="9" spans="1:28" ht="15">
      <c r="A9" s="4" t="s">
        <v>58</v>
      </c>
      <c r="B9" s="124">
        <v>151</v>
      </c>
      <c r="C9" s="30">
        <v>118</v>
      </c>
      <c r="D9" s="30">
        <v>104</v>
      </c>
      <c r="E9" s="30">
        <v>165</v>
      </c>
      <c r="F9" s="30">
        <v>133</v>
      </c>
      <c r="G9" s="44">
        <v>209</v>
      </c>
      <c r="H9" s="44">
        <v>304</v>
      </c>
      <c r="I9" s="44">
        <v>319</v>
      </c>
      <c r="J9" s="44">
        <v>256</v>
      </c>
      <c r="K9" s="41">
        <v>280</v>
      </c>
      <c r="L9" s="41">
        <v>324</v>
      </c>
      <c r="M9" s="41">
        <v>170</v>
      </c>
      <c r="N9" s="41">
        <v>194</v>
      </c>
      <c r="O9" s="41">
        <v>213</v>
      </c>
      <c r="P9" s="41">
        <v>239</v>
      </c>
      <c r="Q9" s="41">
        <v>168</v>
      </c>
      <c r="R9" s="41">
        <v>338</v>
      </c>
      <c r="S9" s="41">
        <v>360</v>
      </c>
      <c r="T9" s="41">
        <v>365</v>
      </c>
      <c r="U9" s="41">
        <v>367</v>
      </c>
      <c r="V9" s="41">
        <v>428</v>
      </c>
      <c r="W9" s="41">
        <v>457</v>
      </c>
      <c r="X9" s="41">
        <v>564</v>
      </c>
      <c r="Y9" s="41">
        <v>573.53</v>
      </c>
      <c r="Z9" s="41"/>
      <c r="AB9" s="41"/>
    </row>
    <row r="10" spans="1:28" ht="15">
      <c r="A10" s="4" t="s">
        <v>59</v>
      </c>
      <c r="B10" s="124">
        <v>130</v>
      </c>
      <c r="C10" s="30">
        <v>237</v>
      </c>
      <c r="D10" s="30">
        <v>67</v>
      </c>
      <c r="E10" s="30">
        <v>137</v>
      </c>
      <c r="F10" s="30">
        <v>191</v>
      </c>
      <c r="G10" s="44">
        <v>59</v>
      </c>
      <c r="H10" s="44">
        <v>178</v>
      </c>
      <c r="I10" s="44">
        <v>34</v>
      </c>
      <c r="J10" s="44">
        <v>121</v>
      </c>
      <c r="K10" s="41">
        <v>66</v>
      </c>
      <c r="L10" s="41">
        <v>88</v>
      </c>
      <c r="M10" s="41">
        <v>79</v>
      </c>
      <c r="N10" s="41">
        <v>123</v>
      </c>
      <c r="O10" s="41">
        <v>30</v>
      </c>
      <c r="P10" s="41">
        <v>35</v>
      </c>
      <c r="Q10" s="41">
        <v>10</v>
      </c>
      <c r="R10" s="41">
        <v>21</v>
      </c>
      <c r="S10" s="41">
        <v>11</v>
      </c>
      <c r="T10" s="41">
        <v>14</v>
      </c>
      <c r="U10" s="41">
        <v>8</v>
      </c>
      <c r="V10" s="41">
        <v>29</v>
      </c>
      <c r="W10" s="41">
        <v>33</v>
      </c>
      <c r="X10" s="41">
        <v>16</v>
      </c>
      <c r="Y10" s="41">
        <v>15.527</v>
      </c>
      <c r="AB10" s="41"/>
    </row>
    <row r="11" spans="1:28" ht="15">
      <c r="A11" s="22" t="s">
        <v>6</v>
      </c>
      <c r="B11" s="190">
        <f>SUM(B7:B10)</f>
        <v>539.4285714285714</v>
      </c>
      <c r="C11" s="190">
        <f>SUM(C7:C10)</f>
        <v>451.42857142857144</v>
      </c>
      <c r="D11" s="190">
        <f>SUM(D7:D10)</f>
        <v>239</v>
      </c>
      <c r="E11" s="190">
        <f>SUM(E7:E10)</f>
        <v>368.7</v>
      </c>
      <c r="F11" s="190">
        <f aca="true" t="shared" si="0" ref="F11:L11">SUM(F7:F10)</f>
        <v>387</v>
      </c>
      <c r="G11" s="190">
        <f t="shared" si="0"/>
        <v>326</v>
      </c>
      <c r="H11" s="190">
        <f t="shared" si="0"/>
        <v>549</v>
      </c>
      <c r="I11" s="190">
        <f t="shared" si="0"/>
        <v>463</v>
      </c>
      <c r="J11" s="190">
        <f t="shared" si="0"/>
        <v>571.3</v>
      </c>
      <c r="K11" s="190">
        <f t="shared" si="0"/>
        <v>596</v>
      </c>
      <c r="L11" s="190">
        <f t="shared" si="0"/>
        <v>533.15</v>
      </c>
      <c r="M11" s="41">
        <f aca="true" t="shared" si="1" ref="M11:Y11">SUM(M7:M10)</f>
        <v>329</v>
      </c>
      <c r="N11" s="41">
        <f t="shared" si="1"/>
        <v>431</v>
      </c>
      <c r="O11" s="41">
        <f t="shared" si="1"/>
        <v>294</v>
      </c>
      <c r="P11" s="41">
        <f t="shared" si="1"/>
        <v>353</v>
      </c>
      <c r="Q11" s="41">
        <f t="shared" si="1"/>
        <v>367</v>
      </c>
      <c r="R11" s="41">
        <f t="shared" si="1"/>
        <v>360</v>
      </c>
      <c r="S11" s="41">
        <f t="shared" si="1"/>
        <v>398</v>
      </c>
      <c r="T11" s="41">
        <f t="shared" si="1"/>
        <v>389</v>
      </c>
      <c r="U11" s="41">
        <f t="shared" si="1"/>
        <v>378</v>
      </c>
      <c r="V11" s="41">
        <f t="shared" si="1"/>
        <v>458.647</v>
      </c>
      <c r="W11" s="41">
        <f t="shared" si="1"/>
        <v>576.8820000000001</v>
      </c>
      <c r="X11" s="41">
        <f t="shared" si="1"/>
        <v>705.67</v>
      </c>
      <c r="Y11" s="41">
        <f t="shared" si="1"/>
        <v>594.157</v>
      </c>
      <c r="Z11" s="203"/>
      <c r="AA11" s="212">
        <f>(Y11-X11)/X11*100</f>
        <v>-15.802428897359947</v>
      </c>
      <c r="AB11" s="41"/>
    </row>
    <row r="12" spans="1:28" ht="15">
      <c r="A12" s="22"/>
      <c r="B12" s="22"/>
      <c r="C12" s="22"/>
      <c r="D12" s="22"/>
      <c r="E12" s="22"/>
      <c r="F12" s="191" t="str">
        <f>IF(ABS(F11-SUM(F7:F10))&gt;comments!$A$1,F11-SUM(F7:F10)," ")</f>
        <v> </v>
      </c>
      <c r="G12" s="191" t="str">
        <f>IF(ABS(G11-SUM(G7:G10))&gt;comments!$A$1,G11-SUM(G7:G10)," ")</f>
        <v> </v>
      </c>
      <c r="H12" s="191" t="str">
        <f>IF(ABS(H11-SUM(H7:H10))&gt;comments!$A$1,H11-SUM(H7:H10)," ")</f>
        <v> </v>
      </c>
      <c r="I12" s="191" t="str">
        <f>IF(ABS(I11-SUM(I7:I10))&gt;comments!$A$1,I11-SUM(I7:I10)," ")</f>
        <v> </v>
      </c>
      <c r="J12" s="191" t="str">
        <f>IF(ABS(J11-SUM(J7:J10))&gt;comments!$A$1,J11-SUM(J7:J10)," ")</f>
        <v> </v>
      </c>
      <c r="K12" s="191" t="str">
        <f>IF(ABS(K11-SUM(K7:K10))&gt;comments!$A$1,K11-SUM(K7:K10)," ")</f>
        <v> </v>
      </c>
      <c r="L12" s="191" t="str">
        <f>IF(ABS(L11-SUM(L7:L10))&gt;comments!$A$1,L11-SUM(L7:L10)," ")</f>
        <v> </v>
      </c>
      <c r="M12" s="191" t="str">
        <f>IF(ABS(M11-SUM(M7:M10))&gt;comments!$A$1,M11-SUM(M7:M10)," ")</f>
        <v> </v>
      </c>
      <c r="N12" s="191" t="str">
        <f>IF(ABS(N11-SUM(N7:N10))&gt;comments!$A$1,N11-SUM(N7:N10)," ")</f>
        <v> </v>
      </c>
      <c r="O12" s="191" t="str">
        <f>IF(ABS(O11-SUM(O7:O10))&gt;comments!$A$1,O11-SUM(O7:O10)," ")</f>
        <v> </v>
      </c>
      <c r="P12" s="191" t="str">
        <f>IF(ABS(P11-SUM(P7:P10))&gt;comments!$A$1,P11-SUM(P7:P10)," ")</f>
        <v> </v>
      </c>
      <c r="Q12" s="191" t="str">
        <f>IF(ABS(Q11-SUM(Q7:Q10))&gt;comments!$A$1,Q11-SUM(Q7:Q10)," ")</f>
        <v> </v>
      </c>
      <c r="R12" s="192"/>
      <c r="T12" s="204"/>
      <c r="U12" s="204"/>
      <c r="V12" s="204"/>
      <c r="W12" s="194"/>
      <c r="AB12" s="41"/>
    </row>
    <row r="13" spans="1:25" ht="12.75" customHeight="1">
      <c r="A13" s="20" t="s">
        <v>79</v>
      </c>
      <c r="B13" s="20"/>
      <c r="C13" s="20"/>
      <c r="D13" s="20"/>
      <c r="E13" s="20"/>
      <c r="I13" s="3"/>
      <c r="J13" s="3"/>
      <c r="K13" s="3"/>
      <c r="N13" s="55"/>
      <c r="O13" s="55"/>
      <c r="P13" s="55"/>
      <c r="S13" s="55"/>
      <c r="W13" s="194"/>
      <c r="Y13" s="55" t="s">
        <v>54</v>
      </c>
    </row>
    <row r="14" spans="1:23" ht="15">
      <c r="A14" s="4" t="s">
        <v>55</v>
      </c>
      <c r="B14" s="4"/>
      <c r="C14" s="4"/>
      <c r="D14" s="4"/>
      <c r="E14" s="4"/>
      <c r="F14" s="15"/>
      <c r="M14" s="41"/>
      <c r="V14" s="194"/>
      <c r="W14" s="194"/>
    </row>
    <row r="15" spans="1:25" ht="15">
      <c r="A15" s="4" t="s">
        <v>56</v>
      </c>
      <c r="B15" s="193">
        <f aca="true" t="shared" si="2" ref="B15:E19">B7/B$11*100</f>
        <v>44.014830508474574</v>
      </c>
      <c r="C15" s="193">
        <f t="shared" si="2"/>
        <v>14.936708860759493</v>
      </c>
      <c r="D15" s="193">
        <f t="shared" si="2"/>
        <v>16.736401673640167</v>
      </c>
      <c r="E15" s="193">
        <f t="shared" si="2"/>
        <v>6.427990235964199</v>
      </c>
      <c r="F15" s="193">
        <f aca="true" t="shared" si="3" ref="F15:L15">F7/F$11*100</f>
        <v>8.2687338501292</v>
      </c>
      <c r="G15" s="193">
        <f t="shared" si="3"/>
        <v>1.5337423312883436</v>
      </c>
      <c r="H15" s="193">
        <f t="shared" si="3"/>
        <v>1.639344262295082</v>
      </c>
      <c r="I15" s="193">
        <f t="shared" si="3"/>
        <v>5.183585313174946</v>
      </c>
      <c r="J15" s="193">
        <f t="shared" si="3"/>
        <v>15.631016978820236</v>
      </c>
      <c r="K15" s="193">
        <f t="shared" si="3"/>
        <v>18.120805369127517</v>
      </c>
      <c r="L15" s="193">
        <f t="shared" si="3"/>
        <v>1.3410859983119199</v>
      </c>
      <c r="M15" s="41">
        <f aca="true" t="shared" si="4" ref="M15:Y15">M7/M$11*100</f>
        <v>0</v>
      </c>
      <c r="N15" s="41">
        <f t="shared" si="4"/>
        <v>13.45707656612529</v>
      </c>
      <c r="O15" s="41">
        <f t="shared" si="4"/>
        <v>0</v>
      </c>
      <c r="P15" s="41">
        <f t="shared" si="4"/>
        <v>14.730878186968837</v>
      </c>
      <c r="Q15" s="41">
        <f t="shared" si="4"/>
        <v>35.967302452316076</v>
      </c>
      <c r="R15" s="41">
        <f t="shared" si="4"/>
        <v>0</v>
      </c>
      <c r="S15" s="41">
        <f t="shared" si="4"/>
        <v>4.522613065326634</v>
      </c>
      <c r="T15" s="41">
        <f t="shared" si="4"/>
        <v>0.7712082262210797</v>
      </c>
      <c r="U15" s="41">
        <f t="shared" si="4"/>
        <v>0.7936507936507936</v>
      </c>
      <c r="V15" s="41">
        <f t="shared" si="4"/>
        <v>0.10530974801971887</v>
      </c>
      <c r="W15" s="41">
        <f t="shared" si="4"/>
        <v>14.887273307192805</v>
      </c>
      <c r="X15" s="41">
        <f t="shared" si="4"/>
        <v>17.671149404112406</v>
      </c>
      <c r="Y15" s="41">
        <f t="shared" si="4"/>
        <v>0.3366113670292532</v>
      </c>
    </row>
    <row r="16" spans="1:25" ht="18">
      <c r="A16" s="4" t="s">
        <v>135</v>
      </c>
      <c r="B16" s="193">
        <f t="shared" si="2"/>
        <v>3.893008474576271</v>
      </c>
      <c r="C16" s="193">
        <f t="shared" si="2"/>
        <v>6.424050632911392</v>
      </c>
      <c r="D16" s="193">
        <f t="shared" si="2"/>
        <v>11.715481171548117</v>
      </c>
      <c r="E16" s="193">
        <f t="shared" si="2"/>
        <v>11.662598318416057</v>
      </c>
      <c r="F16" s="193">
        <f aca="true" t="shared" si="5" ref="F16:L16">F8/F$11*100</f>
        <v>8.010335917312661</v>
      </c>
      <c r="G16" s="193">
        <f t="shared" si="5"/>
        <v>16.257668711656443</v>
      </c>
      <c r="H16" s="193">
        <f t="shared" si="5"/>
        <v>10.564663023679417</v>
      </c>
      <c r="I16" s="193">
        <f t="shared" si="5"/>
        <v>18.57451403887689</v>
      </c>
      <c r="J16" s="193">
        <f t="shared" si="5"/>
        <v>18.379135305443725</v>
      </c>
      <c r="K16" s="193">
        <f t="shared" si="5"/>
        <v>23.825503355704697</v>
      </c>
      <c r="L16" s="193">
        <f t="shared" si="5"/>
        <v>21.382350182875363</v>
      </c>
      <c r="M16" s="41">
        <f aca="true" t="shared" si="6" ref="M16:Y16">M8/M$11*100</f>
        <v>24.316109422492403</v>
      </c>
      <c r="N16" s="41">
        <f t="shared" si="6"/>
        <v>12.993039443155451</v>
      </c>
      <c r="O16" s="41">
        <f t="shared" si="6"/>
        <v>17.346938775510203</v>
      </c>
      <c r="P16" s="41">
        <f t="shared" si="6"/>
        <v>7.64872521246459</v>
      </c>
      <c r="Q16" s="41">
        <f t="shared" si="6"/>
        <v>15.531335149863759</v>
      </c>
      <c r="R16" s="41">
        <f t="shared" si="6"/>
        <v>0.2777777777777778</v>
      </c>
      <c r="S16" s="41">
        <f t="shared" si="6"/>
        <v>2.261306532663317</v>
      </c>
      <c r="T16" s="41">
        <f t="shared" si="6"/>
        <v>1.7994858611825193</v>
      </c>
      <c r="U16" s="41">
        <f t="shared" si="6"/>
        <v>0</v>
      </c>
      <c r="V16" s="41">
        <f t="shared" si="6"/>
        <v>0.2537899517493846</v>
      </c>
      <c r="W16" s="41">
        <f t="shared" si="6"/>
        <v>0.17334567554543215</v>
      </c>
      <c r="X16" s="41">
        <f t="shared" si="6"/>
        <v>0.1374580186206017</v>
      </c>
      <c r="Y16" s="41">
        <f t="shared" si="6"/>
        <v>0.5217476188953425</v>
      </c>
    </row>
    <row r="17" spans="1:25" ht="15">
      <c r="A17" s="4" t="s">
        <v>58</v>
      </c>
      <c r="B17" s="193">
        <f t="shared" si="2"/>
        <v>27.99258474576271</v>
      </c>
      <c r="C17" s="193">
        <f t="shared" si="2"/>
        <v>26.139240506329113</v>
      </c>
      <c r="D17" s="193">
        <f t="shared" si="2"/>
        <v>43.51464435146444</v>
      </c>
      <c r="E17" s="193">
        <f t="shared" si="2"/>
        <v>44.75183075671277</v>
      </c>
      <c r="F17" s="193">
        <f aca="true" t="shared" si="7" ref="F17:L17">F9/F$11*100</f>
        <v>34.366925064599485</v>
      </c>
      <c r="G17" s="193">
        <f t="shared" si="7"/>
        <v>64.11042944785275</v>
      </c>
      <c r="H17" s="193">
        <f t="shared" si="7"/>
        <v>55.373406193078324</v>
      </c>
      <c r="I17" s="193">
        <f t="shared" si="7"/>
        <v>68.89848812095032</v>
      </c>
      <c r="J17" s="193">
        <f t="shared" si="7"/>
        <v>44.81008226851042</v>
      </c>
      <c r="K17" s="193">
        <f t="shared" si="7"/>
        <v>46.97986577181208</v>
      </c>
      <c r="L17" s="193">
        <f t="shared" si="7"/>
        <v>60.77088999343525</v>
      </c>
      <c r="M17" s="41">
        <f aca="true" t="shared" si="8" ref="M17:Y17">M9/M$11*100</f>
        <v>51.671732522796354</v>
      </c>
      <c r="N17" s="41">
        <f t="shared" si="8"/>
        <v>45.011600928074245</v>
      </c>
      <c r="O17" s="41">
        <f t="shared" si="8"/>
        <v>72.44897959183673</v>
      </c>
      <c r="P17" s="41">
        <f t="shared" si="8"/>
        <v>67.70538243626062</v>
      </c>
      <c r="Q17" s="41">
        <f t="shared" si="8"/>
        <v>45.776566757493185</v>
      </c>
      <c r="R17" s="41">
        <f t="shared" si="8"/>
        <v>93.88888888888889</v>
      </c>
      <c r="S17" s="41">
        <f t="shared" si="8"/>
        <v>90.45226130653266</v>
      </c>
      <c r="T17" s="41">
        <f t="shared" si="8"/>
        <v>93.83033419023135</v>
      </c>
      <c r="U17" s="41">
        <f t="shared" si="8"/>
        <v>97.08994708994709</v>
      </c>
      <c r="V17" s="41">
        <f t="shared" si="8"/>
        <v>93.31795476695586</v>
      </c>
      <c r="W17" s="41">
        <f t="shared" si="8"/>
        <v>79.21897372426248</v>
      </c>
      <c r="X17" s="41">
        <f t="shared" si="8"/>
        <v>79.92404381651481</v>
      </c>
      <c r="Y17" s="41">
        <f t="shared" si="8"/>
        <v>96.52835866614379</v>
      </c>
    </row>
    <row r="18" spans="1:25" ht="15">
      <c r="A18" s="4" t="s">
        <v>59</v>
      </c>
      <c r="B18" s="193">
        <f t="shared" si="2"/>
        <v>24.09957627118644</v>
      </c>
      <c r="C18" s="193">
        <f t="shared" si="2"/>
        <v>52.5</v>
      </c>
      <c r="D18" s="193">
        <f t="shared" si="2"/>
        <v>28.03347280334728</v>
      </c>
      <c r="E18" s="193">
        <f t="shared" si="2"/>
        <v>37.15758068890697</v>
      </c>
      <c r="F18" s="193">
        <f aca="true" t="shared" si="9" ref="F18:L18">F10/F$11*100</f>
        <v>49.35400516795866</v>
      </c>
      <c r="G18" s="193">
        <f t="shared" si="9"/>
        <v>18.098159509202453</v>
      </c>
      <c r="H18" s="193">
        <f t="shared" si="9"/>
        <v>32.42258652094718</v>
      </c>
      <c r="I18" s="193">
        <f t="shared" si="9"/>
        <v>7.343412526997841</v>
      </c>
      <c r="J18" s="193">
        <f t="shared" si="9"/>
        <v>21.179765447225627</v>
      </c>
      <c r="K18" s="193">
        <f t="shared" si="9"/>
        <v>11.073825503355705</v>
      </c>
      <c r="L18" s="193">
        <f t="shared" si="9"/>
        <v>16.505673825377475</v>
      </c>
      <c r="M18" s="41">
        <f aca="true" t="shared" si="10" ref="M18:Y18">M10/M$11*100</f>
        <v>24.012158054711247</v>
      </c>
      <c r="N18" s="41">
        <f t="shared" si="10"/>
        <v>28.538283062645007</v>
      </c>
      <c r="O18" s="41">
        <f t="shared" si="10"/>
        <v>10.204081632653061</v>
      </c>
      <c r="P18" s="41">
        <f t="shared" si="10"/>
        <v>9.91501416430595</v>
      </c>
      <c r="Q18" s="41">
        <f t="shared" si="10"/>
        <v>2.7247956403269753</v>
      </c>
      <c r="R18" s="41">
        <f t="shared" si="10"/>
        <v>5.833333333333333</v>
      </c>
      <c r="S18" s="41">
        <f t="shared" si="10"/>
        <v>2.763819095477387</v>
      </c>
      <c r="T18" s="41">
        <f t="shared" si="10"/>
        <v>3.5989717223650386</v>
      </c>
      <c r="U18" s="41">
        <f t="shared" si="10"/>
        <v>2.1164021164021163</v>
      </c>
      <c r="V18" s="41">
        <f t="shared" si="10"/>
        <v>6.322945533275045</v>
      </c>
      <c r="W18" s="41">
        <f t="shared" si="10"/>
        <v>5.720407292999261</v>
      </c>
      <c r="X18" s="41">
        <f t="shared" si="10"/>
        <v>2.267348760752193</v>
      </c>
      <c r="Y18" s="41">
        <f t="shared" si="10"/>
        <v>2.613282347931607</v>
      </c>
    </row>
    <row r="19" spans="1:25" ht="15">
      <c r="A19" s="22" t="s">
        <v>6</v>
      </c>
      <c r="B19" s="193">
        <f t="shared" si="2"/>
        <v>100</v>
      </c>
      <c r="C19" s="193">
        <f t="shared" si="2"/>
        <v>100</v>
      </c>
      <c r="D19" s="193">
        <f t="shared" si="2"/>
        <v>100</v>
      </c>
      <c r="E19" s="193">
        <f t="shared" si="2"/>
        <v>100</v>
      </c>
      <c r="F19" s="193">
        <f aca="true" t="shared" si="11" ref="F19:L19">F11/F$11*100</f>
        <v>100</v>
      </c>
      <c r="G19" s="193">
        <f t="shared" si="11"/>
        <v>100</v>
      </c>
      <c r="H19" s="193">
        <f t="shared" si="11"/>
        <v>100</v>
      </c>
      <c r="I19" s="193">
        <f t="shared" si="11"/>
        <v>100</v>
      </c>
      <c r="J19" s="193">
        <f t="shared" si="11"/>
        <v>100</v>
      </c>
      <c r="K19" s="193">
        <f t="shared" si="11"/>
        <v>100</v>
      </c>
      <c r="L19" s="193">
        <f t="shared" si="11"/>
        <v>100</v>
      </c>
      <c r="M19" s="41">
        <f aca="true" t="shared" si="12" ref="M19:Y19">M11/M$11*100</f>
        <v>100</v>
      </c>
      <c r="N19" s="41">
        <f t="shared" si="12"/>
        <v>100</v>
      </c>
      <c r="O19" s="41">
        <f t="shared" si="12"/>
        <v>100</v>
      </c>
      <c r="P19" s="41">
        <f t="shared" si="12"/>
        <v>100</v>
      </c>
      <c r="Q19" s="41">
        <f t="shared" si="12"/>
        <v>100</v>
      </c>
      <c r="R19" s="41">
        <f t="shared" si="12"/>
        <v>100</v>
      </c>
      <c r="S19" s="41">
        <f t="shared" si="12"/>
        <v>100</v>
      </c>
      <c r="T19" s="41">
        <f t="shared" si="12"/>
        <v>100</v>
      </c>
      <c r="U19" s="41">
        <f t="shared" si="12"/>
        <v>100</v>
      </c>
      <c r="V19" s="41">
        <f t="shared" si="12"/>
        <v>100</v>
      </c>
      <c r="W19" s="41">
        <f t="shared" si="12"/>
        <v>100</v>
      </c>
      <c r="X19" s="41">
        <f t="shared" si="12"/>
        <v>100</v>
      </c>
      <c r="Y19" s="41">
        <f t="shared" si="12"/>
        <v>100</v>
      </c>
    </row>
    <row r="20" spans="1:25" ht="15">
      <c r="A20" s="134"/>
      <c r="B20" s="134"/>
      <c r="C20" s="134"/>
      <c r="D20" s="134"/>
      <c r="E20" s="134"/>
      <c r="F20" s="80"/>
      <c r="G20" s="80"/>
      <c r="H20" s="80"/>
      <c r="I20" s="80"/>
      <c r="J20" s="80"/>
      <c r="K20" s="80"/>
      <c r="L20" s="134"/>
      <c r="M20" s="134"/>
      <c r="N20" s="134"/>
      <c r="O20" s="70"/>
      <c r="P20" s="70"/>
      <c r="Q20" s="70"/>
      <c r="R20" s="70"/>
      <c r="S20" s="70"/>
      <c r="T20" s="70"/>
      <c r="U20" s="70"/>
      <c r="V20" s="70"/>
      <c r="W20" s="134"/>
      <c r="X20" s="134"/>
      <c r="Y20" s="134"/>
    </row>
    <row r="21" ht="18" customHeight="1">
      <c r="A21" s="133" t="s">
        <v>125</v>
      </c>
    </row>
    <row r="24" spans="19:20" ht="12.75">
      <c r="S24" s="135"/>
      <c r="T24" s="135"/>
    </row>
    <row r="25" spans="1:18" s="18" customFormat="1" ht="18">
      <c r="A25" s="133"/>
      <c r="B25" s="133"/>
      <c r="C25" s="133"/>
      <c r="D25" s="133"/>
      <c r="E25" s="133"/>
      <c r="F25" s="194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</row>
    <row r="26" spans="1:20" s="4" customFormat="1" ht="15.75">
      <c r="A26" s="140" t="s">
        <v>234</v>
      </c>
      <c r="B26" s="69"/>
      <c r="C26" s="69"/>
      <c r="D26" s="69"/>
      <c r="E26" s="69"/>
      <c r="F26" s="25"/>
      <c r="G26" s="22"/>
      <c r="H26" s="22"/>
      <c r="I26" s="25"/>
      <c r="J26" s="25"/>
      <c r="K26" s="25"/>
      <c r="L26" s="25"/>
      <c r="M26" s="25"/>
      <c r="N26" s="25"/>
      <c r="O26" s="25"/>
      <c r="P26" s="25"/>
      <c r="S26" s="84"/>
      <c r="T26" s="85"/>
    </row>
    <row r="27" spans="1:20" s="24" customFormat="1" ht="12" customHeight="1">
      <c r="A27" s="23"/>
      <c r="B27" s="23"/>
      <c r="C27" s="23"/>
      <c r="D27" s="23"/>
      <c r="E27" s="23"/>
      <c r="F27" s="43"/>
      <c r="G27" s="19"/>
      <c r="H27" s="19"/>
      <c r="I27" s="19"/>
      <c r="J27" s="19"/>
      <c r="K27" s="19"/>
      <c r="L27" s="19"/>
      <c r="M27" s="19"/>
      <c r="N27" s="205"/>
      <c r="O27" s="19"/>
      <c r="P27" s="19"/>
      <c r="Q27" s="18"/>
      <c r="R27" s="18"/>
      <c r="S27" s="38"/>
      <c r="T27" s="39"/>
    </row>
    <row r="28" spans="1:25" ht="50.25" customHeight="1">
      <c r="A28" s="86" t="s">
        <v>61</v>
      </c>
      <c r="B28" s="86"/>
      <c r="C28" s="86"/>
      <c r="D28" s="86"/>
      <c r="E28" s="86"/>
      <c r="H28" s="195"/>
      <c r="N28" s="195"/>
      <c r="O28" s="87" t="s">
        <v>130</v>
      </c>
      <c r="P28" s="65"/>
      <c r="Q28" s="88" t="s">
        <v>57</v>
      </c>
      <c r="R28" s="65"/>
      <c r="S28" s="89"/>
      <c r="T28" s="88" t="s">
        <v>58</v>
      </c>
      <c r="U28" s="65"/>
      <c r="V28" s="89"/>
      <c r="W28" s="90" t="s">
        <v>62</v>
      </c>
      <c r="X28" s="65"/>
      <c r="Y28" s="90" t="s">
        <v>6</v>
      </c>
    </row>
    <row r="29" spans="1:25" ht="12.75" customHeight="1">
      <c r="A29" s="11"/>
      <c r="B29" s="11"/>
      <c r="C29" s="11"/>
      <c r="D29" s="11"/>
      <c r="E29" s="11"/>
      <c r="O29" s="36"/>
      <c r="P29" s="143"/>
      <c r="Q29" s="37"/>
      <c r="R29" s="143"/>
      <c r="S29" s="196"/>
      <c r="T29" s="12"/>
      <c r="U29" s="135"/>
      <c r="V29" s="196"/>
      <c r="W29" s="13"/>
      <c r="X29" s="135"/>
      <c r="Y29" s="10"/>
    </row>
    <row r="30" spans="1:25" ht="12.75" customHeight="1">
      <c r="A30" s="61" t="s">
        <v>72</v>
      </c>
      <c r="B30" s="61"/>
      <c r="C30" s="61"/>
      <c r="D30" s="61"/>
      <c r="E30" s="61"/>
      <c r="O30" s="42"/>
      <c r="P30" s="15"/>
      <c r="Q30" s="15"/>
      <c r="R30" s="15"/>
      <c r="S30" s="15"/>
      <c r="T30" s="15"/>
      <c r="U30" s="15"/>
      <c r="V30" s="15"/>
      <c r="W30" s="15"/>
      <c r="X30" s="15"/>
      <c r="Y30" s="3" t="s">
        <v>78</v>
      </c>
    </row>
    <row r="31" spans="1:25" ht="12.75" customHeight="1">
      <c r="A31" s="61"/>
      <c r="B31" s="61"/>
      <c r="C31" s="61"/>
      <c r="D31" s="61"/>
      <c r="E31" s="61"/>
      <c r="O31" s="42"/>
      <c r="P31" s="15"/>
      <c r="Q31" s="15"/>
      <c r="R31" s="15"/>
      <c r="S31" s="15"/>
      <c r="T31" s="15"/>
      <c r="U31" s="15"/>
      <c r="V31" s="15"/>
      <c r="W31" s="15"/>
      <c r="X31" s="15"/>
      <c r="Y31" s="41"/>
    </row>
    <row r="32" spans="1:25" ht="15">
      <c r="A32" s="4" t="s">
        <v>92</v>
      </c>
      <c r="B32" s="4"/>
      <c r="C32" s="4"/>
      <c r="D32" s="4"/>
      <c r="E32" s="4"/>
      <c r="O32" s="41">
        <v>0</v>
      </c>
      <c r="P32" s="184"/>
      <c r="Q32" s="41">
        <v>0</v>
      </c>
      <c r="R32" s="183"/>
      <c r="S32" s="183"/>
      <c r="T32" s="184">
        <v>196.943</v>
      </c>
      <c r="U32" s="183"/>
      <c r="V32" s="183"/>
      <c r="W32" s="184">
        <v>3</v>
      </c>
      <c r="X32" s="41"/>
      <c r="Y32" s="184">
        <f>O32+Q32+T32+W32</f>
        <v>199.943</v>
      </c>
    </row>
    <row r="33" spans="1:25" ht="15">
      <c r="A33" s="4" t="s">
        <v>93</v>
      </c>
      <c r="B33" s="4"/>
      <c r="C33" s="4"/>
      <c r="D33" s="4"/>
      <c r="E33" s="4"/>
      <c r="N33" s="184"/>
      <c r="O33" s="184">
        <v>112.7</v>
      </c>
      <c r="P33" s="183"/>
      <c r="Q33" s="41">
        <v>0.664</v>
      </c>
      <c r="R33" s="183"/>
      <c r="S33" s="183"/>
      <c r="T33" s="184">
        <v>82.749</v>
      </c>
      <c r="U33" s="183"/>
      <c r="V33" s="183"/>
      <c r="W33" s="184">
        <v>5</v>
      </c>
      <c r="X33" s="41"/>
      <c r="Y33" s="184">
        <f>O33+Q33+T33+W33</f>
        <v>201.113</v>
      </c>
    </row>
    <row r="34" spans="1:25" ht="15">
      <c r="A34" s="4" t="s">
        <v>94</v>
      </c>
      <c r="B34" s="4"/>
      <c r="C34" s="4"/>
      <c r="D34" s="4"/>
      <c r="E34" s="4"/>
      <c r="N34" s="184"/>
      <c r="O34" s="184">
        <v>12</v>
      </c>
      <c r="P34" s="183"/>
      <c r="Q34" s="41">
        <v>0.4</v>
      </c>
      <c r="R34" s="183"/>
      <c r="S34" s="183"/>
      <c r="T34" s="184">
        <v>151.317</v>
      </c>
      <c r="U34" s="183"/>
      <c r="V34" s="183"/>
      <c r="W34" s="184">
        <v>7</v>
      </c>
      <c r="X34" s="41"/>
      <c r="Y34" s="184">
        <f>O34+Q34+T34+W34</f>
        <v>170.717</v>
      </c>
    </row>
    <row r="35" spans="1:25" ht="15">
      <c r="A35" s="4" t="s">
        <v>95</v>
      </c>
      <c r="B35" s="4"/>
      <c r="C35" s="4"/>
      <c r="D35" s="4"/>
      <c r="E35" s="4"/>
      <c r="O35" s="41">
        <v>0</v>
      </c>
      <c r="P35" s="183"/>
      <c r="Q35" s="41">
        <v>0</v>
      </c>
      <c r="R35" s="183"/>
      <c r="S35" s="183"/>
      <c r="T35" s="184">
        <v>133.835</v>
      </c>
      <c r="U35" s="183"/>
      <c r="V35" s="183"/>
      <c r="W35" s="184">
        <v>1</v>
      </c>
      <c r="X35" s="41"/>
      <c r="Y35" s="184">
        <f>O35+Q35+T35+W35</f>
        <v>134.835</v>
      </c>
    </row>
    <row r="36" spans="1:25" ht="18">
      <c r="A36" s="4" t="s">
        <v>242</v>
      </c>
      <c r="B36" s="4"/>
      <c r="C36" s="4"/>
      <c r="D36" s="4"/>
      <c r="E36" s="4"/>
      <c r="O36" s="41">
        <v>0</v>
      </c>
      <c r="P36" s="183"/>
      <c r="Q36" s="41">
        <v>0</v>
      </c>
      <c r="R36" s="183"/>
      <c r="S36" s="183"/>
      <c r="T36" s="41">
        <v>0</v>
      </c>
      <c r="U36" s="183"/>
      <c r="V36" s="183"/>
      <c r="W36" s="41">
        <v>0</v>
      </c>
      <c r="X36" s="41"/>
      <c r="Y36" s="41">
        <f>O36+Q36+T36+W36</f>
        <v>0</v>
      </c>
    </row>
    <row r="37" spans="1:42" ht="15">
      <c r="A37" s="22" t="s">
        <v>6</v>
      </c>
      <c r="B37" s="22"/>
      <c r="C37" s="22"/>
      <c r="D37" s="22"/>
      <c r="E37" s="22"/>
      <c r="N37" s="243"/>
      <c r="O37" s="244">
        <f>SUM(O32:O36)</f>
        <v>124.7</v>
      </c>
      <c r="P37" s="191"/>
      <c r="Q37" s="244">
        <f>SUM(Q32:Q36)</f>
        <v>1.064</v>
      </c>
      <c r="R37" s="183"/>
      <c r="S37" s="183"/>
      <c r="T37" s="244">
        <f>SUM(T32:T36)</f>
        <v>564.844</v>
      </c>
      <c r="U37" s="183"/>
      <c r="V37" s="183"/>
      <c r="W37" s="245">
        <f>SUM(W32:W36)</f>
        <v>16</v>
      </c>
      <c r="X37" s="41"/>
      <c r="Y37" s="246">
        <f>SUM(Y32:Y36)</f>
        <v>706.6080000000001</v>
      </c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1:42" ht="15">
      <c r="A38" s="4"/>
      <c r="B38" s="4"/>
      <c r="C38" s="4"/>
      <c r="D38" s="4"/>
      <c r="E38" s="4"/>
      <c r="O38" s="197" t="str">
        <f>IF(ABS(O37-SUM(O32:O35))&gt;comments!$A$1,O37-SUM(O32:O35)," ")</f>
        <v> </v>
      </c>
      <c r="P38" s="198"/>
      <c r="Q38" s="197" t="str">
        <f>IF(ABS(Q37-SUM(Q32:Q35))&gt;comments!$A$1,Q37-SUM(Q32:Q35)," ")</f>
        <v> </v>
      </c>
      <c r="R38" s="197"/>
      <c r="S38" s="197"/>
      <c r="T38" s="197" t="str">
        <f>IF(ABS(T37-SUM(T32:T35))&gt;comments!$A$1,T37-SUM(T32:T35)," ")</f>
        <v> </v>
      </c>
      <c r="U38" s="197"/>
      <c r="V38" s="197"/>
      <c r="W38" s="197" t="str">
        <f>IF(ABS(W37-SUM(W32:W35))&gt;comments!$A$1,W37-SUM(W32:W35)," ")</f>
        <v> </v>
      </c>
      <c r="X38" s="198"/>
      <c r="Y38" s="198" t="str">
        <f>IF(ABS(Y37-SUM(Y32:Y35))&gt;comments!$A$1,Y37-SUM(Y32:Y35)," ")</f>
        <v> </v>
      </c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</row>
    <row r="39" spans="1:25" ht="12.75" customHeight="1">
      <c r="A39" s="61" t="s">
        <v>79</v>
      </c>
      <c r="B39" s="61"/>
      <c r="C39" s="61"/>
      <c r="D39" s="61"/>
      <c r="E39" s="61"/>
      <c r="O39" s="52"/>
      <c r="P39" s="15"/>
      <c r="Q39" s="46"/>
      <c r="R39" s="46"/>
      <c r="S39" s="46"/>
      <c r="T39" s="46"/>
      <c r="U39" s="46"/>
      <c r="V39" s="46"/>
      <c r="W39" s="46"/>
      <c r="X39" s="15"/>
      <c r="Y39" s="3" t="s">
        <v>54</v>
      </c>
    </row>
    <row r="40" spans="1:25" ht="15.75">
      <c r="A40" s="4" t="s">
        <v>92</v>
      </c>
      <c r="B40" s="4"/>
      <c r="C40" s="4"/>
      <c r="D40" s="4"/>
      <c r="E40" s="4"/>
      <c r="O40" s="191" t="str">
        <f>IF(ISERR(O32/O$37*100),"-",IF((O32/O$37*100)=0,"-",(O32/O$37)*100))</f>
        <v>-</v>
      </c>
      <c r="P40" s="247"/>
      <c r="Q40" s="191" t="str">
        <f>IF(ISERR(Q32/Q$37*100),"-",IF((Q32/Q$37*100)=0,"-",(Q32/Q$37)*100))</f>
        <v>-</v>
      </c>
      <c r="R40" s="191"/>
      <c r="S40" s="191"/>
      <c r="T40" s="191">
        <f aca="true" t="shared" si="13" ref="T40:T45">IF(ISERR(T32/T$37*100),"-",IF((T32/T$37*100)=0,"-",(T32/T$37)*100))</f>
        <v>34.86679507970342</v>
      </c>
      <c r="U40" s="191"/>
      <c r="V40" s="191"/>
      <c r="W40" s="191">
        <f aca="true" t="shared" si="14" ref="W40:W45">IF(ISERR(W32/W$37*100),"-",IF((W32/W$37*100)=0,"-",(W32/W$37)*100))</f>
        <v>18.75</v>
      </c>
      <c r="X40" s="191"/>
      <c r="Y40" s="191">
        <f aca="true" t="shared" si="15" ref="Y40:Y45">IF(ISERR(Y32/Y$37*100),"-",IF((Y32/Y$37*100)=0,"-",(Y32/Y$37)*100))</f>
        <v>28.296169870706244</v>
      </c>
    </row>
    <row r="41" spans="1:25" ht="15.75">
      <c r="A41" s="4" t="s">
        <v>93</v>
      </c>
      <c r="B41" s="4"/>
      <c r="C41" s="4"/>
      <c r="D41" s="4"/>
      <c r="E41" s="4"/>
      <c r="O41" s="191">
        <f aca="true" t="shared" si="16" ref="O41:Q45">IF(ISERR(O33/O$37*100),"-",IF((O33/O$37*100)=0,"-",(O33/O$37)*100))</f>
        <v>90.37690457097032</v>
      </c>
      <c r="P41" s="247"/>
      <c r="Q41" s="191">
        <f t="shared" si="16"/>
        <v>62.40601503759399</v>
      </c>
      <c r="R41" s="191"/>
      <c r="S41" s="191"/>
      <c r="T41" s="191">
        <f t="shared" si="13"/>
        <v>14.649885632139137</v>
      </c>
      <c r="U41" s="191"/>
      <c r="V41" s="191"/>
      <c r="W41" s="191">
        <f t="shared" si="14"/>
        <v>31.25</v>
      </c>
      <c r="X41" s="191"/>
      <c r="Y41" s="191">
        <f t="shared" si="15"/>
        <v>28.46174965468831</v>
      </c>
    </row>
    <row r="42" spans="1:25" ht="15.75">
      <c r="A42" s="4" t="s">
        <v>94</v>
      </c>
      <c r="B42" s="4"/>
      <c r="C42" s="4"/>
      <c r="D42" s="4"/>
      <c r="E42" s="4"/>
      <c r="O42" s="191">
        <f t="shared" si="16"/>
        <v>9.623095429029672</v>
      </c>
      <c r="P42" s="247"/>
      <c r="Q42" s="191">
        <f t="shared" si="16"/>
        <v>37.59398496240601</v>
      </c>
      <c r="R42" s="191"/>
      <c r="S42" s="191"/>
      <c r="T42" s="191">
        <f t="shared" si="13"/>
        <v>26.78916656634398</v>
      </c>
      <c r="U42" s="191"/>
      <c r="V42" s="191"/>
      <c r="W42" s="191">
        <f t="shared" si="14"/>
        <v>43.75</v>
      </c>
      <c r="X42" s="191"/>
      <c r="Y42" s="191">
        <f t="shared" si="15"/>
        <v>24.160071779543962</v>
      </c>
    </row>
    <row r="43" spans="1:25" ht="15.75">
      <c r="A43" s="4" t="s">
        <v>95</v>
      </c>
      <c r="B43" s="4"/>
      <c r="C43" s="4"/>
      <c r="D43" s="4"/>
      <c r="E43" s="4"/>
      <c r="O43" s="191" t="str">
        <f t="shared" si="16"/>
        <v>-</v>
      </c>
      <c r="P43" s="247"/>
      <c r="Q43" s="191" t="str">
        <f t="shared" si="16"/>
        <v>-</v>
      </c>
      <c r="R43" s="191"/>
      <c r="S43" s="191"/>
      <c r="T43" s="191">
        <f t="shared" si="13"/>
        <v>23.694152721813456</v>
      </c>
      <c r="U43" s="191"/>
      <c r="V43" s="191"/>
      <c r="W43" s="191">
        <f t="shared" si="14"/>
        <v>6.25</v>
      </c>
      <c r="X43" s="191"/>
      <c r="Y43" s="191">
        <f t="shared" si="15"/>
        <v>19.082008695061475</v>
      </c>
    </row>
    <row r="44" spans="1:25" ht="18.75">
      <c r="A44" s="4" t="s">
        <v>242</v>
      </c>
      <c r="B44" s="4"/>
      <c r="C44" s="4"/>
      <c r="D44" s="4"/>
      <c r="E44" s="4"/>
      <c r="O44" s="191" t="str">
        <f t="shared" si="16"/>
        <v>-</v>
      </c>
      <c r="P44" s="247"/>
      <c r="Q44" s="191" t="str">
        <f t="shared" si="16"/>
        <v>-</v>
      </c>
      <c r="R44" s="191"/>
      <c r="S44" s="191"/>
      <c r="T44" s="191" t="str">
        <f t="shared" si="13"/>
        <v>-</v>
      </c>
      <c r="U44" s="191"/>
      <c r="V44" s="191"/>
      <c r="W44" s="191" t="str">
        <f t="shared" si="14"/>
        <v>-</v>
      </c>
      <c r="X44" s="191"/>
      <c r="Y44" s="191" t="str">
        <f t="shared" si="15"/>
        <v>-</v>
      </c>
    </row>
    <row r="45" spans="1:25" ht="15.75">
      <c r="A45" s="22" t="s">
        <v>6</v>
      </c>
      <c r="B45" s="22"/>
      <c r="C45" s="22"/>
      <c r="D45" s="22"/>
      <c r="E45" s="22"/>
      <c r="O45" s="191">
        <f t="shared" si="16"/>
        <v>100</v>
      </c>
      <c r="P45" s="247"/>
      <c r="Q45" s="191">
        <f t="shared" si="16"/>
        <v>100</v>
      </c>
      <c r="R45" s="191"/>
      <c r="S45" s="191"/>
      <c r="T45" s="191">
        <f t="shared" si="13"/>
        <v>100</v>
      </c>
      <c r="U45" s="191"/>
      <c r="V45" s="191"/>
      <c r="W45" s="191">
        <f t="shared" si="14"/>
        <v>100</v>
      </c>
      <c r="X45" s="191"/>
      <c r="Y45" s="191">
        <f t="shared" si="15"/>
        <v>100</v>
      </c>
    </row>
    <row r="46" spans="1:25" ht="15">
      <c r="A46" s="134"/>
      <c r="B46" s="134"/>
      <c r="C46" s="134"/>
      <c r="D46" s="134"/>
      <c r="E46" s="134"/>
      <c r="H46" s="134"/>
      <c r="N46" s="134"/>
      <c r="O46" s="80"/>
      <c r="P46" s="80"/>
      <c r="Q46" s="102"/>
      <c r="R46" s="102"/>
      <c r="S46" s="102"/>
      <c r="T46" s="102"/>
      <c r="U46" s="102"/>
      <c r="V46" s="102"/>
      <c r="W46" s="102"/>
      <c r="X46" s="80"/>
      <c r="Y46" s="80"/>
    </row>
    <row r="47" spans="1:23" ht="15">
      <c r="A47" s="194"/>
      <c r="B47" s="199"/>
      <c r="C47" s="199"/>
      <c r="D47" s="199"/>
      <c r="E47" s="199"/>
      <c r="F47" s="200"/>
      <c r="G47" s="200"/>
      <c r="H47" s="27"/>
      <c r="J47" s="27"/>
      <c r="K47" s="27"/>
      <c r="O47" s="27"/>
      <c r="P47" s="27"/>
      <c r="Q47" s="27"/>
      <c r="R47" s="27"/>
      <c r="S47" s="27"/>
      <c r="T47" s="27"/>
      <c r="U47" s="27"/>
      <c r="V47" s="27"/>
      <c r="W47" s="194"/>
    </row>
    <row r="48" spans="1:22" ht="20.25" customHeight="1">
      <c r="A48" s="133" t="s">
        <v>125</v>
      </c>
      <c r="H48" s="45"/>
      <c r="J48" s="45"/>
      <c r="K48" s="27"/>
      <c r="O48" s="27"/>
      <c r="P48" s="27"/>
      <c r="Q48" s="27"/>
      <c r="R48" s="27"/>
      <c r="S48" s="27"/>
      <c r="T48" s="27"/>
      <c r="U48" s="45"/>
      <c r="V48" s="45"/>
    </row>
    <row r="49" spans="1:22" ht="15">
      <c r="A49" s="135"/>
      <c r="B49" s="135"/>
      <c r="C49" s="135"/>
      <c r="D49" s="135"/>
      <c r="E49" s="135"/>
      <c r="H49" s="45"/>
      <c r="J49" s="45"/>
      <c r="K49" s="27"/>
      <c r="O49" s="27"/>
      <c r="P49" s="27"/>
      <c r="Q49" s="27"/>
      <c r="R49" s="27"/>
      <c r="S49" s="27"/>
      <c r="T49" s="27"/>
      <c r="U49" s="45"/>
      <c r="V49" s="45"/>
    </row>
    <row r="50" spans="1:20" s="4" customFormat="1" ht="15.75">
      <c r="A50" s="69" t="s">
        <v>233</v>
      </c>
      <c r="B50" s="69"/>
      <c r="C50" s="69"/>
      <c r="D50" s="69"/>
      <c r="E50" s="69"/>
      <c r="H50" s="25"/>
      <c r="J50" s="22"/>
      <c r="K50" s="25"/>
      <c r="O50" s="25"/>
      <c r="P50" s="25"/>
      <c r="Q50" s="25"/>
      <c r="R50" s="25"/>
      <c r="S50" s="25"/>
      <c r="T50" s="25"/>
    </row>
    <row r="51" spans="1:22" ht="18">
      <c r="A51" s="23"/>
      <c r="B51" s="23"/>
      <c r="C51" s="23"/>
      <c r="D51" s="23"/>
      <c r="E51" s="23"/>
      <c r="H51" s="43"/>
      <c r="J51" s="19"/>
      <c r="K51" s="43"/>
      <c r="O51" s="43"/>
      <c r="P51" s="43"/>
      <c r="Q51" s="43"/>
      <c r="R51" s="43"/>
      <c r="S51" s="43"/>
      <c r="T51" s="43"/>
      <c r="U51" s="18"/>
      <c r="V51" s="18"/>
    </row>
    <row r="52" spans="1:25" ht="79.5" customHeight="1">
      <c r="A52" s="86" t="s">
        <v>61</v>
      </c>
      <c r="B52" s="86"/>
      <c r="C52" s="86"/>
      <c r="D52" s="86"/>
      <c r="E52" s="86"/>
      <c r="H52" s="195"/>
      <c r="N52" s="195"/>
      <c r="O52" s="87" t="s">
        <v>130</v>
      </c>
      <c r="P52" s="65"/>
      <c r="Q52" s="103" t="s">
        <v>57</v>
      </c>
      <c r="R52" s="101"/>
      <c r="S52" s="104"/>
      <c r="T52" s="103" t="s">
        <v>58</v>
      </c>
      <c r="U52" s="101"/>
      <c r="V52" s="104"/>
      <c r="W52" s="105" t="s">
        <v>62</v>
      </c>
      <c r="X52" s="65"/>
      <c r="Y52" s="90" t="s">
        <v>6</v>
      </c>
    </row>
    <row r="53" spans="1:25" ht="12.75">
      <c r="A53" s="11"/>
      <c r="B53" s="11"/>
      <c r="C53" s="11"/>
      <c r="D53" s="11"/>
      <c r="E53" s="11"/>
      <c r="O53" s="36"/>
      <c r="P53" s="143"/>
      <c r="Q53" s="37"/>
      <c r="R53" s="143"/>
      <c r="S53" s="201"/>
      <c r="T53" s="37"/>
      <c r="U53" s="143"/>
      <c r="V53" s="201"/>
      <c r="W53" s="106"/>
      <c r="X53" s="135"/>
      <c r="Y53" s="10"/>
    </row>
    <row r="54" spans="1:25" ht="15.75">
      <c r="A54" s="61" t="s">
        <v>72</v>
      </c>
      <c r="B54" s="61"/>
      <c r="C54" s="61"/>
      <c r="D54" s="61"/>
      <c r="E54" s="61"/>
      <c r="O54" s="42"/>
      <c r="P54" s="15"/>
      <c r="Q54" s="42"/>
      <c r="R54" s="42"/>
      <c r="S54" s="42"/>
      <c r="T54" s="42"/>
      <c r="U54" s="42"/>
      <c r="V54" s="42"/>
      <c r="W54" s="42"/>
      <c r="X54" s="15"/>
      <c r="Y54" s="3" t="s">
        <v>78</v>
      </c>
    </row>
    <row r="55" spans="1:25" ht="15.75">
      <c r="A55" s="61"/>
      <c r="B55" s="61"/>
      <c r="C55" s="61"/>
      <c r="D55" s="61"/>
      <c r="E55" s="61"/>
      <c r="O55" s="42"/>
      <c r="P55" s="15"/>
      <c r="Q55" s="42"/>
      <c r="R55" s="42"/>
      <c r="S55" s="42"/>
      <c r="T55" s="42"/>
      <c r="U55" s="42"/>
      <c r="V55" s="42"/>
      <c r="W55" s="42"/>
      <c r="X55" s="15"/>
      <c r="Y55" s="3"/>
    </row>
    <row r="56" spans="1:25" ht="15">
      <c r="A56" s="4" t="s">
        <v>92</v>
      </c>
      <c r="B56" s="4"/>
      <c r="C56" s="4"/>
      <c r="D56" s="4"/>
      <c r="E56" s="4"/>
      <c r="O56" s="41">
        <v>0</v>
      </c>
      <c r="P56" s="184"/>
      <c r="Q56" s="41">
        <v>0</v>
      </c>
      <c r="R56" s="183"/>
      <c r="S56" s="183"/>
      <c r="T56" s="184">
        <v>190.695</v>
      </c>
      <c r="U56" s="183"/>
      <c r="V56" s="183"/>
      <c r="W56" s="184">
        <v>0.26</v>
      </c>
      <c r="X56" s="41"/>
      <c r="Y56" s="191">
        <f>SUM(O56,Q56,T56,W56)</f>
        <v>190.95499999999998</v>
      </c>
    </row>
    <row r="57" spans="1:25" ht="15">
      <c r="A57" s="4" t="s">
        <v>93</v>
      </c>
      <c r="B57" s="4"/>
      <c r="C57" s="4"/>
      <c r="D57" s="4"/>
      <c r="E57" s="4"/>
      <c r="O57" s="41">
        <v>0</v>
      </c>
      <c r="P57" s="183"/>
      <c r="Q57" s="41">
        <v>1.078</v>
      </c>
      <c r="R57" s="183"/>
      <c r="S57" s="183"/>
      <c r="T57" s="184">
        <v>127.471</v>
      </c>
      <c r="U57" s="183"/>
      <c r="V57" s="183"/>
      <c r="W57" s="184">
        <v>3.482</v>
      </c>
      <c r="X57" s="41"/>
      <c r="Y57" s="191">
        <f>SUM(O57,Q57,T57,W57)</f>
        <v>132.031</v>
      </c>
    </row>
    <row r="58" spans="1:25" ht="18">
      <c r="A58" s="4" t="s">
        <v>163</v>
      </c>
      <c r="B58" s="4"/>
      <c r="C58" s="4"/>
      <c r="D58" s="4"/>
      <c r="E58" s="4"/>
      <c r="O58" s="41">
        <v>2</v>
      </c>
      <c r="P58" s="183"/>
      <c r="Q58" s="41">
        <v>1.599</v>
      </c>
      <c r="R58" s="183"/>
      <c r="S58" s="183"/>
      <c r="T58" s="184">
        <v>154.973</v>
      </c>
      <c r="U58" s="183"/>
      <c r="V58" s="183"/>
      <c r="W58" s="184">
        <v>6.571</v>
      </c>
      <c r="X58" s="41"/>
      <c r="Y58" s="191">
        <f>SUM(O58,Q58,T58,W58)</f>
        <v>165.143</v>
      </c>
    </row>
    <row r="59" spans="1:25" ht="18">
      <c r="A59" s="4" t="s">
        <v>164</v>
      </c>
      <c r="B59" s="4"/>
      <c r="C59" s="4"/>
      <c r="D59" s="4"/>
      <c r="E59" s="4"/>
      <c r="O59" s="41">
        <v>0</v>
      </c>
      <c r="P59" s="183"/>
      <c r="Q59" s="41">
        <v>0.445</v>
      </c>
      <c r="R59" s="183"/>
      <c r="S59" s="183"/>
      <c r="T59" s="184">
        <v>100.414</v>
      </c>
      <c r="U59" s="183"/>
      <c r="V59" s="183"/>
      <c r="W59" s="184">
        <v>5.214</v>
      </c>
      <c r="X59" s="41"/>
      <c r="Y59" s="191">
        <f>SUM(O59,Q59,T59,W59)</f>
        <v>106.073</v>
      </c>
    </row>
    <row r="60" spans="1:26" ht="15">
      <c r="A60" s="22" t="s">
        <v>6</v>
      </c>
      <c r="B60" s="22"/>
      <c r="C60" s="22"/>
      <c r="D60" s="22"/>
      <c r="E60" s="22"/>
      <c r="O60" s="248">
        <f>SUM(O56:O59)</f>
        <v>2</v>
      </c>
      <c r="P60" s="191"/>
      <c r="Q60" s="248">
        <f>SUM(Q56:Q59)</f>
        <v>3.122</v>
      </c>
      <c r="R60" s="183"/>
      <c r="S60" s="183"/>
      <c r="T60" s="191">
        <f>SUM(T56:T59)</f>
        <v>573.553</v>
      </c>
      <c r="U60" s="183"/>
      <c r="V60" s="183"/>
      <c r="W60" s="191">
        <f>SUM(W56:W59)</f>
        <v>15.527</v>
      </c>
      <c r="X60" s="41"/>
      <c r="Y60" s="191">
        <f>SUM(O60,Q60,T60,W60)</f>
        <v>594.202</v>
      </c>
      <c r="Z60" s="211"/>
    </row>
    <row r="61" spans="1:25" ht="15">
      <c r="A61" s="4"/>
      <c r="B61" s="4"/>
      <c r="C61" s="4"/>
      <c r="D61" s="4"/>
      <c r="E61" s="4"/>
      <c r="O61" s="197" t="str">
        <f>IF(ABS(O60-SUM(O56:O59))&gt;comments!$A$1,O60-SUM(O56:O59)," ")</f>
        <v> </v>
      </c>
      <c r="P61" s="198"/>
      <c r="Q61" s="197" t="str">
        <f>IF(ABS(Q60-SUM(Q56:Q59))&gt;comments!$A$1,Q60-SUM(Q56:Q59)," ")</f>
        <v> </v>
      </c>
      <c r="R61" s="197"/>
      <c r="S61" s="197"/>
      <c r="T61" s="197" t="str">
        <f>IF(ABS(T60-SUM(T56:T59))&gt;comments!$A$1,T60-SUM(T56:T59)," ")</f>
        <v> </v>
      </c>
      <c r="U61" s="197"/>
      <c r="V61" s="197"/>
      <c r="W61" s="197" t="str">
        <f>IF(ABS(W60-SUM(W56:W59))&gt;comments!$A$1,W60-SUM(W56:W59)," ")</f>
        <v> </v>
      </c>
      <c r="X61" s="198"/>
      <c r="Y61" s="198" t="str">
        <f>IF(ABS(Y60-SUM(Y56:Y59))&gt;comments!$A$1,Y60-SUM(Y56:Y59)," ")</f>
        <v> </v>
      </c>
    </row>
    <row r="62" spans="1:25" ht="15.75">
      <c r="A62" s="61" t="s">
        <v>79</v>
      </c>
      <c r="B62" s="61"/>
      <c r="C62" s="61"/>
      <c r="D62" s="61"/>
      <c r="E62" s="61"/>
      <c r="O62" s="52"/>
      <c r="P62" s="15"/>
      <c r="Q62" s="46"/>
      <c r="R62" s="46"/>
      <c r="S62" s="46"/>
      <c r="T62" s="46"/>
      <c r="U62" s="46"/>
      <c r="V62" s="46"/>
      <c r="W62" s="46"/>
      <c r="X62" s="15"/>
      <c r="Y62" s="3" t="s">
        <v>54</v>
      </c>
    </row>
    <row r="63" spans="1:25" ht="15.75">
      <c r="A63" s="4" t="s">
        <v>92</v>
      </c>
      <c r="B63" s="4"/>
      <c r="C63" s="4"/>
      <c r="D63" s="4"/>
      <c r="E63" s="4"/>
      <c r="O63" s="191" t="str">
        <f>IF(ISERR(O56/O$60*100),"-",IF((O56/O$60*100)=0,"-",(O56/O$60)*100))</f>
        <v>-</v>
      </c>
      <c r="P63" s="247"/>
      <c r="Q63" s="191" t="str">
        <f>IF(ISERR(Q56/Q$60*100),"-",IF((Q56/Q$60*100)=0,"-",(Q56/Q$60)*100))</f>
        <v>-</v>
      </c>
      <c r="R63" s="191"/>
      <c r="S63" s="191"/>
      <c r="T63" s="191">
        <f>IF(ISERR(T56/T$60*100),"-",IF((T56/T$60*100)=0,"-",(T56/T$60)*100))</f>
        <v>33.248017184113756</v>
      </c>
      <c r="U63" s="191"/>
      <c r="V63" s="191"/>
      <c r="W63" s="191">
        <f>IF(ISERR(W56/W$60*100),"-",IF((W56/W$60*100)=0,"-",(W56/W$60)*100))</f>
        <v>1.6745024795517487</v>
      </c>
      <c r="X63" s="191"/>
      <c r="Y63" s="191">
        <f>IF(ISERR(Y56/Y$60*100),"-",IF((Y56/Y$60*100)=0,"-",(Y56/Y$60)*100))</f>
        <v>32.13637786476652</v>
      </c>
    </row>
    <row r="64" spans="1:25" ht="15.75">
      <c r="A64" s="4" t="s">
        <v>93</v>
      </c>
      <c r="B64" s="4"/>
      <c r="C64" s="4"/>
      <c r="D64" s="4"/>
      <c r="E64" s="4"/>
      <c r="O64" s="191" t="str">
        <f>IF(ISERR(O57/O$60*100),"-",IF((O57/O$60*100)=0,"-",(O57/O$60)*100))</f>
        <v>-</v>
      </c>
      <c r="P64" s="247"/>
      <c r="Q64" s="191">
        <f>IF(ISERR(Q57/Q$60*100),"-",IF((Q57/Q$60*100)=0,"-",(Q57/Q$60)*100))</f>
        <v>34.52914798206279</v>
      </c>
      <c r="R64" s="191"/>
      <c r="S64" s="191"/>
      <c r="T64" s="191">
        <f>IF(ISERR(T57/T$60*100),"-",IF((T57/T$60*100)=0,"-",(T57/T$60)*100))</f>
        <v>22.224798754430715</v>
      </c>
      <c r="U64" s="191"/>
      <c r="V64" s="191"/>
      <c r="W64" s="191">
        <f>IF(ISERR(W57/W$60*100),"-",IF((W57/W$60*100)=0,"-",(W57/W$60)*100))</f>
        <v>22.425452437689188</v>
      </c>
      <c r="X64" s="191"/>
      <c r="Y64" s="191">
        <f>IF(ISERR(Y57/Y$60*100),"-",IF((Y57/Y$60*100)=0,"-",(Y57/Y$60)*100))</f>
        <v>22.21988482031363</v>
      </c>
    </row>
    <row r="65" spans="1:25" ht="15.75">
      <c r="A65" s="4" t="s">
        <v>94</v>
      </c>
      <c r="B65" s="4"/>
      <c r="C65" s="4"/>
      <c r="D65" s="4"/>
      <c r="E65" s="4"/>
      <c r="O65" s="191">
        <f>IF(ISERR(O58/O$60*100),"-",IF((O58/O$60*100)=0,"-",(O58/O$60)*100))</f>
        <v>100</v>
      </c>
      <c r="P65" s="247"/>
      <c r="Q65" s="191">
        <f>IF(ISERR(Q58/Q$60*100),"-",IF((Q58/Q$60*100)=0,"-",(Q58/Q$60)*100))</f>
        <v>51.21716848174247</v>
      </c>
      <c r="R65" s="191"/>
      <c r="S65" s="191"/>
      <c r="T65" s="191">
        <f>IF(ISERR(T58/T$60*100),"-",IF((T58/T$60*100)=0,"-",(T58/T$60)*100))</f>
        <v>27.019822056549263</v>
      </c>
      <c r="U65" s="191"/>
      <c r="V65" s="191"/>
      <c r="W65" s="191">
        <f>IF(ISERR(W58/W$60*100),"-",IF((W58/W$60*100)=0,"-",(W58/W$60)*100))</f>
        <v>42.31982997359439</v>
      </c>
      <c r="X65" s="191"/>
      <c r="Y65" s="191">
        <f>IF(ISERR(Y58/Y$60*100),"-",IF((Y58/Y$60*100)=0,"-",(Y58/Y$60)*100))</f>
        <v>27.792400564117926</v>
      </c>
    </row>
    <row r="66" spans="1:25" ht="15.75">
      <c r="A66" s="4" t="s">
        <v>95</v>
      </c>
      <c r="B66" s="4"/>
      <c r="C66" s="4"/>
      <c r="D66" s="4"/>
      <c r="E66" s="4"/>
      <c r="O66" s="191" t="str">
        <f>IF(ISERR(O59/O$60*100),"-",IF((O59/O$60*100)=0,"-",(O59/O$60)*100))</f>
        <v>-</v>
      </c>
      <c r="P66" s="247"/>
      <c r="Q66" s="191">
        <f>IF(ISERR(Q59/Q$60*100),"-",IF((Q59/Q$60*100)=0,"-",(Q59/Q$60)*100))</f>
        <v>14.253683536194748</v>
      </c>
      <c r="R66" s="191"/>
      <c r="S66" s="191"/>
      <c r="T66" s="191">
        <f>IF(ISERR(T59/T$60*100),"-",IF((T59/T$60*100)=0,"-",(T59/T$60)*100))</f>
        <v>17.50736200490626</v>
      </c>
      <c r="U66" s="191"/>
      <c r="V66" s="191"/>
      <c r="W66" s="191">
        <f>IF(ISERR(W59/W$60*100),"-",IF((W59/W$60*100)=0,"-",(W59/W$60)*100))</f>
        <v>33.58021510916468</v>
      </c>
      <c r="X66" s="191"/>
      <c r="Y66" s="191">
        <f>IF(ISERR(Y59/Y$60*100),"-",IF((Y59/Y$60*100)=0,"-",(Y59/Y$60)*100))</f>
        <v>17.851336750801917</v>
      </c>
    </row>
    <row r="67" spans="1:25" ht="15.75">
      <c r="A67" s="22" t="s">
        <v>6</v>
      </c>
      <c r="B67" s="22"/>
      <c r="C67" s="22"/>
      <c r="D67" s="22"/>
      <c r="E67" s="22"/>
      <c r="O67" s="191">
        <f>IF(ISERR(O60/O$60*100),"-",IF((O60/O$60*100)=0,"-",(O60/O$60)*100))</f>
        <v>100</v>
      </c>
      <c r="P67" s="247"/>
      <c r="Q67" s="191">
        <f>IF(ISERR(Q60/Q$60*100),"-",IF((Q60/Q$60*100)=0,"-",(Q60/Q$60)*100))</f>
        <v>100</v>
      </c>
      <c r="R67" s="191"/>
      <c r="S67" s="191"/>
      <c r="T67" s="191">
        <f>IF(ISERR(T60/T$60*100),"-",IF((T60/T$60*100)=0,"-",(T60/T$60)*100))</f>
        <v>100</v>
      </c>
      <c r="U67" s="191"/>
      <c r="V67" s="191"/>
      <c r="W67" s="191">
        <f>IF(ISERR(W60/W$60*100),"-",IF((W60/W$60*100)=0,"-",(W60/W$60)*100))</f>
        <v>100</v>
      </c>
      <c r="X67" s="191"/>
      <c r="Y67" s="191">
        <f>IF(ISERR(Y60/Y$60*100),"-",IF((Y60/Y$60*100)=0,"-",(Y60/Y$60)*100))</f>
        <v>100</v>
      </c>
    </row>
    <row r="68" spans="1:25" ht="15">
      <c r="A68" s="134"/>
      <c r="B68" s="134"/>
      <c r="C68" s="134"/>
      <c r="D68" s="134"/>
      <c r="E68" s="134"/>
      <c r="F68" s="80"/>
      <c r="H68" s="134"/>
      <c r="N68" s="134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134"/>
    </row>
    <row r="69" ht="12.75">
      <c r="A69" s="133" t="s">
        <v>125</v>
      </c>
    </row>
    <row r="71" ht="12.75">
      <c r="A71" s="133" t="s">
        <v>241</v>
      </c>
    </row>
  </sheetData>
  <sheetProtection/>
  <printOptions/>
  <pageMargins left="0.7480314960629921" right="0.6299212598425197" top="0.984251968503937" bottom="0.984251968503937" header="0.5118110236220472" footer="0.5118110236220472"/>
  <pageSetup fitToHeight="1" fitToWidth="1" horizontalDpi="600" verticalDpi="600" orientation="portrait" paperSize="9" scale="53" r:id="rId1"/>
  <headerFooter alignWithMargins="0">
    <oddHeader>&amp;R&amp;"Arial,Bold"&amp;16ROAD NETWORK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5.140625" style="133" customWidth="1"/>
    <col min="2" max="2" width="4.8515625" style="133" customWidth="1"/>
    <col min="3" max="3" width="6.57421875" style="133" customWidth="1"/>
    <col min="4" max="4" width="6.421875" style="133" customWidth="1"/>
    <col min="5" max="5" width="6.57421875" style="133" customWidth="1"/>
    <col min="6" max="6" width="6.421875" style="133" customWidth="1"/>
    <col min="7" max="7" width="6.57421875" style="133" customWidth="1"/>
    <col min="8" max="8" width="6.7109375" style="133" customWidth="1"/>
    <col min="9" max="13" width="6.57421875" style="133" customWidth="1"/>
    <col min="14" max="14" width="6.28125" style="133" customWidth="1"/>
    <col min="15" max="15" width="13.421875" style="133" customWidth="1"/>
    <col min="16" max="16" width="6.28125" style="133" customWidth="1"/>
    <col min="17" max="16384" width="9.140625" style="133" customWidth="1"/>
  </cols>
  <sheetData>
    <row r="1" s="4" customFormat="1" ht="18.75">
      <c r="A1" s="69" t="s">
        <v>142</v>
      </c>
    </row>
    <row r="2" s="18" customFormat="1" ht="9.75" customHeight="1">
      <c r="A2" s="23"/>
    </row>
    <row r="3" spans="1:15" s="4" customFormat="1" ht="16.5" customHeight="1">
      <c r="A3" s="20" t="s">
        <v>155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5"/>
      <c r="N3" s="22"/>
      <c r="O3" s="22"/>
    </row>
    <row r="4" spans="1:15" s="4" customFormat="1" ht="7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5"/>
      <c r="N4" s="22"/>
      <c r="O4" s="22"/>
    </row>
    <row r="5" spans="1:15" s="4" customFormat="1" ht="16.5" customHeight="1">
      <c r="A5" s="91"/>
      <c r="B5" s="91"/>
      <c r="C5" s="65"/>
      <c r="D5" s="65"/>
      <c r="E5" s="65"/>
      <c r="F5" s="65"/>
      <c r="G5" s="72" t="s">
        <v>69</v>
      </c>
      <c r="H5" s="100"/>
      <c r="I5" s="100"/>
      <c r="J5" s="65"/>
      <c r="K5" s="65"/>
      <c r="L5" s="65"/>
      <c r="M5" s="101"/>
      <c r="N5" s="91"/>
      <c r="O5" s="21"/>
    </row>
    <row r="6" spans="1:15" s="4" customFormat="1" ht="16.5" customHeight="1">
      <c r="A6" s="70"/>
      <c r="B6" s="70"/>
      <c r="C6" s="92" t="s">
        <v>63</v>
      </c>
      <c r="D6" s="92"/>
      <c r="E6" s="92" t="s">
        <v>64</v>
      </c>
      <c r="F6" s="92"/>
      <c r="G6" s="93" t="s">
        <v>65</v>
      </c>
      <c r="H6" s="93"/>
      <c r="I6" s="93" t="s">
        <v>66</v>
      </c>
      <c r="J6" s="92"/>
      <c r="K6" s="93" t="s">
        <v>67</v>
      </c>
      <c r="L6" s="92"/>
      <c r="M6" s="187" t="s">
        <v>68</v>
      </c>
      <c r="N6" s="94"/>
      <c r="O6" s="96"/>
    </row>
    <row r="7" spans="12:15" ht="16.5" customHeight="1">
      <c r="L7" s="2" t="s">
        <v>54</v>
      </c>
      <c r="M7" s="236"/>
      <c r="O7" s="135"/>
    </row>
    <row r="8" spans="1:15" ht="16.5" customHeight="1">
      <c r="A8" s="22" t="s">
        <v>70</v>
      </c>
      <c r="C8" s="4">
        <v>11</v>
      </c>
      <c r="D8" s="4"/>
      <c r="E8" s="4">
        <v>8</v>
      </c>
      <c r="F8" s="4"/>
      <c r="G8" s="4">
        <v>11</v>
      </c>
      <c r="H8" s="4"/>
      <c r="I8" s="4">
        <v>8</v>
      </c>
      <c r="J8" s="4"/>
      <c r="K8" s="4">
        <v>8</v>
      </c>
      <c r="L8" s="17"/>
      <c r="M8" s="15">
        <v>54</v>
      </c>
      <c r="N8" s="4"/>
      <c r="O8" s="32"/>
    </row>
    <row r="9" spans="1:15" ht="16.5" customHeight="1">
      <c r="A9" s="22" t="s">
        <v>71</v>
      </c>
      <c r="B9" s="135"/>
      <c r="C9" s="25">
        <v>10</v>
      </c>
      <c r="D9" s="25"/>
      <c r="E9" s="25">
        <v>9</v>
      </c>
      <c r="F9" s="25"/>
      <c r="G9" s="25">
        <v>9</v>
      </c>
      <c r="H9" s="25"/>
      <c r="I9" s="25">
        <v>8</v>
      </c>
      <c r="J9" s="25"/>
      <c r="K9" s="25">
        <v>7</v>
      </c>
      <c r="L9" s="25"/>
      <c r="M9" s="27">
        <v>57</v>
      </c>
      <c r="N9" s="25"/>
      <c r="O9" s="26"/>
    </row>
    <row r="10" spans="1:15" ht="16.5" customHeight="1">
      <c r="A10" s="22" t="s">
        <v>85</v>
      </c>
      <c r="B10" s="22"/>
      <c r="C10" s="22">
        <v>10</v>
      </c>
      <c r="D10" s="22"/>
      <c r="E10" s="22">
        <v>8</v>
      </c>
      <c r="F10" s="22"/>
      <c r="G10" s="22">
        <v>10</v>
      </c>
      <c r="H10" s="22"/>
      <c r="I10" s="22">
        <v>9</v>
      </c>
      <c r="J10" s="22"/>
      <c r="K10" s="22">
        <v>10</v>
      </c>
      <c r="L10" s="22"/>
      <c r="M10" s="22">
        <v>53</v>
      </c>
      <c r="N10" s="22"/>
      <c r="O10" s="32"/>
    </row>
    <row r="11" spans="1:15" s="135" customFormat="1" ht="16.5" customHeight="1">
      <c r="A11" s="22" t="s">
        <v>86</v>
      </c>
      <c r="B11" s="22"/>
      <c r="C11" s="22">
        <v>9</v>
      </c>
      <c r="D11" s="22"/>
      <c r="E11" s="22">
        <v>7</v>
      </c>
      <c r="F11" s="22"/>
      <c r="G11" s="22">
        <v>9</v>
      </c>
      <c r="H11" s="22"/>
      <c r="I11" s="22">
        <v>8</v>
      </c>
      <c r="J11" s="22"/>
      <c r="K11" s="22">
        <v>8</v>
      </c>
      <c r="L11" s="22"/>
      <c r="M11" s="22">
        <v>59</v>
      </c>
      <c r="N11" s="22"/>
      <c r="O11" s="32"/>
    </row>
    <row r="12" spans="1:15" s="135" customFormat="1" ht="16.5" customHeight="1">
      <c r="A12" s="22" t="s">
        <v>87</v>
      </c>
      <c r="B12" s="22"/>
      <c r="C12" s="25">
        <v>4</v>
      </c>
      <c r="D12" s="25"/>
      <c r="E12" s="25">
        <v>4</v>
      </c>
      <c r="F12" s="25"/>
      <c r="G12" s="25">
        <v>7</v>
      </c>
      <c r="H12" s="25"/>
      <c r="I12" s="25">
        <v>7</v>
      </c>
      <c r="J12" s="25"/>
      <c r="K12" s="25">
        <v>10</v>
      </c>
      <c r="L12" s="25"/>
      <c r="M12" s="25">
        <v>68</v>
      </c>
      <c r="N12" s="25"/>
      <c r="O12" s="26"/>
    </row>
    <row r="13" spans="1:15" s="135" customFormat="1" ht="16.5" customHeight="1">
      <c r="A13" s="22" t="s">
        <v>88</v>
      </c>
      <c r="B13" s="22"/>
      <c r="C13" s="25">
        <v>4</v>
      </c>
      <c r="D13" s="25"/>
      <c r="E13" s="25">
        <v>4</v>
      </c>
      <c r="F13" s="25"/>
      <c r="G13" s="25">
        <v>7</v>
      </c>
      <c r="H13" s="25"/>
      <c r="I13" s="25">
        <v>7</v>
      </c>
      <c r="J13" s="25"/>
      <c r="K13" s="25">
        <v>11</v>
      </c>
      <c r="L13" s="25"/>
      <c r="M13" s="25">
        <v>67</v>
      </c>
      <c r="N13" s="25"/>
      <c r="O13" s="26"/>
    </row>
    <row r="14" spans="1:15" s="135" customFormat="1" ht="16.5" customHeight="1">
      <c r="A14" s="25" t="s">
        <v>98</v>
      </c>
      <c r="B14" s="22"/>
      <c r="C14" s="25">
        <v>4</v>
      </c>
      <c r="D14" s="25"/>
      <c r="E14" s="25">
        <v>4</v>
      </c>
      <c r="F14" s="25"/>
      <c r="G14" s="25">
        <v>6</v>
      </c>
      <c r="H14" s="25"/>
      <c r="I14" s="25">
        <v>7</v>
      </c>
      <c r="J14" s="25"/>
      <c r="K14" s="25">
        <v>12</v>
      </c>
      <c r="L14" s="25"/>
      <c r="M14" s="25">
        <v>67</v>
      </c>
      <c r="N14" s="25"/>
      <c r="O14" s="26"/>
    </row>
    <row r="15" spans="1:15" s="135" customFormat="1" ht="16.5" customHeight="1">
      <c r="A15" s="25" t="s">
        <v>111</v>
      </c>
      <c r="B15" s="22"/>
      <c r="C15" s="25">
        <v>4</v>
      </c>
      <c r="D15" s="25"/>
      <c r="E15" s="25">
        <v>5</v>
      </c>
      <c r="F15" s="25"/>
      <c r="G15" s="25">
        <v>6</v>
      </c>
      <c r="H15" s="25"/>
      <c r="I15" s="25">
        <v>7</v>
      </c>
      <c r="J15" s="25"/>
      <c r="K15" s="25">
        <v>13</v>
      </c>
      <c r="L15" s="25"/>
      <c r="M15" s="25">
        <v>65</v>
      </c>
      <c r="N15" s="25"/>
      <c r="O15" s="26"/>
    </row>
    <row r="16" spans="1:15" s="135" customFormat="1" ht="16.5" customHeight="1">
      <c r="A16" s="25" t="s">
        <v>114</v>
      </c>
      <c r="B16" s="22"/>
      <c r="C16" s="25">
        <v>4</v>
      </c>
      <c r="D16" s="25"/>
      <c r="E16" s="25">
        <v>4</v>
      </c>
      <c r="F16" s="25"/>
      <c r="G16" s="25">
        <v>6</v>
      </c>
      <c r="H16" s="25"/>
      <c r="I16" s="25">
        <v>7</v>
      </c>
      <c r="J16" s="25"/>
      <c r="K16" s="25">
        <v>15</v>
      </c>
      <c r="L16" s="25"/>
      <c r="M16" s="25">
        <v>63</v>
      </c>
      <c r="N16" s="25"/>
      <c r="O16" s="26"/>
    </row>
    <row r="17" spans="1:15" s="135" customFormat="1" ht="16.5" customHeight="1">
      <c r="A17" s="25" t="s">
        <v>117</v>
      </c>
      <c r="B17" s="22"/>
      <c r="C17" s="25">
        <v>5</v>
      </c>
      <c r="D17" s="25"/>
      <c r="E17" s="25">
        <v>4</v>
      </c>
      <c r="F17" s="25"/>
      <c r="G17" s="25">
        <v>6</v>
      </c>
      <c r="H17" s="25"/>
      <c r="I17" s="25">
        <v>7</v>
      </c>
      <c r="J17" s="25"/>
      <c r="K17" s="25">
        <v>15</v>
      </c>
      <c r="L17" s="25"/>
      <c r="M17" s="25">
        <v>63</v>
      </c>
      <c r="N17" s="25"/>
      <c r="O17" s="26"/>
    </row>
    <row r="18" spans="1:15" s="135" customFormat="1" ht="16.5" customHeight="1">
      <c r="A18" s="25" t="s">
        <v>123</v>
      </c>
      <c r="B18" s="22"/>
      <c r="C18" s="25">
        <v>4</v>
      </c>
      <c r="D18" s="25"/>
      <c r="E18" s="25">
        <v>4</v>
      </c>
      <c r="F18" s="25"/>
      <c r="G18" s="25">
        <v>7</v>
      </c>
      <c r="H18" s="25"/>
      <c r="I18" s="25">
        <v>7</v>
      </c>
      <c r="J18" s="25"/>
      <c r="K18" s="25">
        <v>13</v>
      </c>
      <c r="L18" s="25"/>
      <c r="M18" s="25">
        <v>65</v>
      </c>
      <c r="N18" s="25"/>
      <c r="O18" s="26"/>
    </row>
    <row r="19" spans="1:15" s="135" customFormat="1" ht="16.5" customHeight="1">
      <c r="A19" s="25" t="s">
        <v>133</v>
      </c>
      <c r="B19" s="22"/>
      <c r="C19" s="25">
        <v>4</v>
      </c>
      <c r="D19" s="25"/>
      <c r="E19" s="25">
        <v>4</v>
      </c>
      <c r="F19" s="25"/>
      <c r="G19" s="25">
        <v>6</v>
      </c>
      <c r="H19" s="25"/>
      <c r="I19" s="25">
        <v>7</v>
      </c>
      <c r="J19" s="25"/>
      <c r="K19" s="25">
        <v>11</v>
      </c>
      <c r="L19" s="25"/>
      <c r="M19" s="25">
        <v>68</v>
      </c>
      <c r="N19" s="25"/>
      <c r="O19" s="26"/>
    </row>
    <row r="20" spans="1:15" s="135" customFormat="1" ht="16.5" customHeight="1">
      <c r="A20" s="25" t="s">
        <v>139</v>
      </c>
      <c r="B20" s="22"/>
      <c r="C20" s="25">
        <v>5</v>
      </c>
      <c r="D20" s="25"/>
      <c r="E20" s="25">
        <v>5</v>
      </c>
      <c r="F20" s="25"/>
      <c r="G20" s="25">
        <v>7</v>
      </c>
      <c r="H20" s="25"/>
      <c r="I20" s="25">
        <v>8</v>
      </c>
      <c r="J20" s="25"/>
      <c r="K20" s="25">
        <v>11</v>
      </c>
      <c r="L20" s="25"/>
      <c r="M20" s="25">
        <v>64</v>
      </c>
      <c r="N20" s="25"/>
      <c r="O20" s="26"/>
    </row>
    <row r="21" spans="1:15" s="135" customFormat="1" ht="16.5" customHeight="1" thickBot="1">
      <c r="A21" s="141" t="s">
        <v>146</v>
      </c>
      <c r="B21" s="142"/>
      <c r="C21" s="141">
        <v>5</v>
      </c>
      <c r="D21" s="141"/>
      <c r="E21" s="141">
        <v>4</v>
      </c>
      <c r="F21" s="141"/>
      <c r="G21" s="141">
        <v>6</v>
      </c>
      <c r="H21" s="141"/>
      <c r="I21" s="141">
        <v>7</v>
      </c>
      <c r="J21" s="141"/>
      <c r="K21" s="141">
        <v>9</v>
      </c>
      <c r="L21" s="141"/>
      <c r="M21" s="141">
        <v>69</v>
      </c>
      <c r="N21" s="25"/>
      <c r="O21" s="26"/>
    </row>
    <row r="22" spans="1:15" s="135" customFormat="1" ht="16.5" customHeight="1">
      <c r="A22" s="25" t="s">
        <v>180</v>
      </c>
      <c r="B22" s="22"/>
      <c r="C22" s="25">
        <v>10</v>
      </c>
      <c r="D22" s="25"/>
      <c r="E22" s="25">
        <v>7</v>
      </c>
      <c r="F22" s="25"/>
      <c r="G22" s="25">
        <v>10</v>
      </c>
      <c r="H22" s="25"/>
      <c r="I22" s="25">
        <v>10</v>
      </c>
      <c r="J22" s="25"/>
      <c r="K22" s="25">
        <v>11</v>
      </c>
      <c r="L22" s="25"/>
      <c r="M22" s="25">
        <v>52</v>
      </c>
      <c r="N22" s="25"/>
      <c r="O22" s="26"/>
    </row>
    <row r="23" spans="1:15" s="135" customFormat="1" ht="16.5" customHeight="1">
      <c r="A23" s="25" t="s">
        <v>165</v>
      </c>
      <c r="B23" s="25"/>
      <c r="C23" s="25">
        <v>13</v>
      </c>
      <c r="D23" s="25"/>
      <c r="E23" s="25">
        <v>8</v>
      </c>
      <c r="F23" s="25"/>
      <c r="G23" s="25">
        <v>10</v>
      </c>
      <c r="H23" s="25"/>
      <c r="I23" s="25">
        <v>10</v>
      </c>
      <c r="J23" s="25"/>
      <c r="K23" s="25">
        <v>12</v>
      </c>
      <c r="L23" s="25"/>
      <c r="M23" s="25">
        <v>46</v>
      </c>
      <c r="N23" s="25"/>
      <c r="O23" s="26"/>
    </row>
    <row r="24" spans="1:15" s="135" customFormat="1" ht="16.5" customHeight="1">
      <c r="A24" s="25" t="s">
        <v>187</v>
      </c>
      <c r="B24" s="25"/>
      <c r="C24" s="25">
        <v>14</v>
      </c>
      <c r="D24" s="25"/>
      <c r="E24" s="25">
        <v>8</v>
      </c>
      <c r="F24" s="25"/>
      <c r="G24" s="25">
        <v>10</v>
      </c>
      <c r="H24" s="25"/>
      <c r="I24" s="25">
        <v>9</v>
      </c>
      <c r="J24" s="25"/>
      <c r="K24" s="25">
        <v>11</v>
      </c>
      <c r="L24" s="25"/>
      <c r="M24" s="25">
        <v>49</v>
      </c>
      <c r="N24" s="25"/>
      <c r="O24" s="26"/>
    </row>
    <row r="25" spans="1:15" s="135" customFormat="1" ht="16.5" customHeight="1">
      <c r="A25" s="25" t="s">
        <v>186</v>
      </c>
      <c r="B25" s="25"/>
      <c r="C25" s="25">
        <v>13</v>
      </c>
      <c r="D25" s="25"/>
      <c r="E25" s="25">
        <v>7</v>
      </c>
      <c r="F25" s="25"/>
      <c r="G25" s="25">
        <v>9</v>
      </c>
      <c r="H25" s="25"/>
      <c r="I25" s="25">
        <v>9</v>
      </c>
      <c r="J25" s="25"/>
      <c r="K25" s="25">
        <v>12</v>
      </c>
      <c r="L25" s="25"/>
      <c r="M25" s="25">
        <v>50</v>
      </c>
      <c r="N25" s="25"/>
      <c r="O25" s="26"/>
    </row>
    <row r="26" spans="1:15" s="135" customFormat="1" ht="16.5" customHeight="1">
      <c r="A26" s="25" t="s">
        <v>209</v>
      </c>
      <c r="B26" s="25"/>
      <c r="C26" s="57">
        <v>12.43</v>
      </c>
      <c r="D26" s="57"/>
      <c r="E26" s="57">
        <v>9.07</v>
      </c>
      <c r="F26" s="57"/>
      <c r="G26" s="57">
        <v>9.38</v>
      </c>
      <c r="H26" s="57"/>
      <c r="I26" s="57">
        <v>8.57</v>
      </c>
      <c r="J26" s="57"/>
      <c r="K26" s="57">
        <v>12.66</v>
      </c>
      <c r="L26" s="57"/>
      <c r="M26" s="57">
        <v>47.89</v>
      </c>
      <c r="N26" s="25"/>
      <c r="O26" s="26"/>
    </row>
    <row r="27" spans="1:15" s="135" customFormat="1" ht="16.5" customHeight="1">
      <c r="A27" s="25" t="s">
        <v>217</v>
      </c>
      <c r="B27" s="25"/>
      <c r="C27" s="57">
        <v>12</v>
      </c>
      <c r="D27" s="57"/>
      <c r="E27" s="57">
        <v>9</v>
      </c>
      <c r="F27" s="57"/>
      <c r="G27" s="57">
        <v>9</v>
      </c>
      <c r="H27" s="57"/>
      <c r="I27" s="57">
        <v>9</v>
      </c>
      <c r="J27" s="57"/>
      <c r="K27" s="57">
        <v>12</v>
      </c>
      <c r="L27" s="57"/>
      <c r="M27" s="57">
        <v>49</v>
      </c>
      <c r="N27" s="25"/>
      <c r="O27" s="26"/>
    </row>
    <row r="28" spans="1:15" s="135" customFormat="1" ht="16.5" customHeight="1">
      <c r="A28" s="25" t="s">
        <v>219</v>
      </c>
      <c r="B28" s="25"/>
      <c r="C28" s="57">
        <v>11.26</v>
      </c>
      <c r="D28" s="57"/>
      <c r="E28" s="57">
        <v>8.81</v>
      </c>
      <c r="F28" s="57"/>
      <c r="G28" s="57">
        <v>9.44</v>
      </c>
      <c r="H28" s="57"/>
      <c r="I28" s="57">
        <v>8.84</v>
      </c>
      <c r="J28" s="57"/>
      <c r="K28" s="57">
        <v>11.59</v>
      </c>
      <c r="L28" s="57"/>
      <c r="M28" s="57">
        <v>51</v>
      </c>
      <c r="N28" s="25"/>
      <c r="O28" s="26"/>
    </row>
    <row r="29" spans="1:15" s="135" customFormat="1" ht="16.5" customHeight="1">
      <c r="A29" s="25" t="s">
        <v>228</v>
      </c>
      <c r="B29" s="25"/>
      <c r="C29" s="57">
        <v>10.86</v>
      </c>
      <c r="D29" s="57"/>
      <c r="E29" s="57">
        <v>8.56</v>
      </c>
      <c r="F29" s="57"/>
      <c r="G29" s="57">
        <v>9.42</v>
      </c>
      <c r="H29" s="57"/>
      <c r="I29" s="57">
        <v>8.91</v>
      </c>
      <c r="J29" s="57"/>
      <c r="K29" s="57">
        <v>11.56</v>
      </c>
      <c r="L29" s="57"/>
      <c r="M29" s="57">
        <v>50.68</v>
      </c>
      <c r="N29" s="25"/>
      <c r="O29" s="26"/>
    </row>
    <row r="30" spans="1:15" s="135" customFormat="1" ht="16.5" customHeight="1">
      <c r="A30" s="25" t="s">
        <v>243</v>
      </c>
      <c r="B30" s="25"/>
      <c r="C30" s="57">
        <v>10.97</v>
      </c>
      <c r="D30" s="57"/>
      <c r="E30" s="57">
        <v>8.41</v>
      </c>
      <c r="F30" s="57"/>
      <c r="G30" s="57">
        <v>8.65</v>
      </c>
      <c r="H30" s="57"/>
      <c r="I30" s="57">
        <v>8.53</v>
      </c>
      <c r="J30" s="57"/>
      <c r="K30" s="57">
        <v>13.21</v>
      </c>
      <c r="L30" s="57"/>
      <c r="M30" s="57">
        <v>50.23</v>
      </c>
      <c r="N30" s="25"/>
      <c r="O30" s="26"/>
    </row>
    <row r="31" spans="2:15" s="135" customFormat="1" ht="7.5" customHeight="1">
      <c r="B31" s="22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2"/>
      <c r="O31" s="26"/>
    </row>
    <row r="32" spans="1:15" s="135" customFormat="1" ht="16.5" customHeight="1">
      <c r="A32" s="186" t="s">
        <v>235</v>
      </c>
      <c r="B32" s="2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/>
      <c r="O32" s="26"/>
    </row>
    <row r="33" spans="1:15" s="135" customFormat="1" ht="15" customHeight="1">
      <c r="A33" s="22" t="s">
        <v>210</v>
      </c>
      <c r="C33" s="57">
        <v>11.5</v>
      </c>
      <c r="D33" s="216"/>
      <c r="E33" s="57">
        <v>6.99</v>
      </c>
      <c r="F33" s="216"/>
      <c r="G33" s="57">
        <v>7.79</v>
      </c>
      <c r="H33" s="216"/>
      <c r="I33" s="57">
        <v>8.43</v>
      </c>
      <c r="J33" s="216"/>
      <c r="K33" s="57">
        <v>12.16</v>
      </c>
      <c r="L33" s="216"/>
      <c r="M33" s="57">
        <v>53.12</v>
      </c>
      <c r="N33" s="22"/>
      <c r="O33" s="26"/>
    </row>
    <row r="34" spans="1:15" s="135" customFormat="1" ht="15" customHeight="1">
      <c r="A34" s="22" t="s">
        <v>211</v>
      </c>
      <c r="C34" s="57">
        <v>12.21</v>
      </c>
      <c r="D34" s="216"/>
      <c r="E34" s="57">
        <v>12.46</v>
      </c>
      <c r="F34" s="216"/>
      <c r="G34" s="57">
        <v>11.53</v>
      </c>
      <c r="H34" s="216"/>
      <c r="I34" s="57">
        <v>10.56</v>
      </c>
      <c r="J34" s="216"/>
      <c r="K34" s="57">
        <v>13.43</v>
      </c>
      <c r="L34" s="216"/>
      <c r="M34" s="57">
        <v>39.81</v>
      </c>
      <c r="N34" s="22"/>
      <c r="O34" s="26"/>
    </row>
    <row r="35" spans="1:15" s="135" customFormat="1" ht="15" customHeight="1">
      <c r="A35" s="213" t="s">
        <v>244</v>
      </c>
      <c r="C35" s="57">
        <v>11.38</v>
      </c>
      <c r="D35" s="216"/>
      <c r="E35" s="57">
        <v>8.87</v>
      </c>
      <c r="F35" s="216"/>
      <c r="G35" s="57">
        <v>9.29</v>
      </c>
      <c r="H35" s="216"/>
      <c r="I35" s="57">
        <v>7.96</v>
      </c>
      <c r="J35" s="216"/>
      <c r="K35" s="57">
        <v>13.31</v>
      </c>
      <c r="L35" s="216"/>
      <c r="M35" s="57">
        <v>49.18</v>
      </c>
      <c r="N35" s="22"/>
      <c r="O35" s="26"/>
    </row>
    <row r="36" spans="1:15" s="135" customFormat="1" ht="15" customHeight="1">
      <c r="A36" s="22" t="s">
        <v>212</v>
      </c>
      <c r="C36" s="57">
        <v>8.45</v>
      </c>
      <c r="D36" s="216"/>
      <c r="E36" s="57">
        <v>6.55</v>
      </c>
      <c r="F36" s="216"/>
      <c r="G36" s="57">
        <v>6.8</v>
      </c>
      <c r="H36" s="216"/>
      <c r="I36" s="57">
        <v>7.21</v>
      </c>
      <c r="J36" s="216"/>
      <c r="K36" s="57">
        <v>14.75</v>
      </c>
      <c r="L36" s="216"/>
      <c r="M36" s="57">
        <v>56.24</v>
      </c>
      <c r="N36" s="22"/>
      <c r="O36" s="26"/>
    </row>
    <row r="37" spans="1:15" s="135" customFormat="1" ht="10.5" customHeight="1">
      <c r="A37" s="13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32"/>
    </row>
    <row r="38" spans="1:15" s="135" customFormat="1" ht="18" customHeight="1">
      <c r="A38" s="185" t="s">
        <v>213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32"/>
    </row>
    <row r="39" spans="2:15" s="135" customFormat="1" ht="12.75" customHeight="1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s="135" customFormat="1" ht="15">
      <c r="A40" s="237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7"/>
    </row>
    <row r="41" spans="2:16" s="135" customFormat="1" ht="15.75">
      <c r="B41" s="99"/>
      <c r="C41" s="98" t="s">
        <v>0</v>
      </c>
      <c r="D41" s="134"/>
      <c r="E41" s="98"/>
      <c r="F41" s="134"/>
      <c r="H41" s="98" t="s">
        <v>90</v>
      </c>
      <c r="I41" s="238"/>
      <c r="J41" s="238"/>
      <c r="K41" s="238"/>
      <c r="M41" s="98" t="s">
        <v>152</v>
      </c>
      <c r="N41" s="238"/>
      <c r="O41" s="238"/>
      <c r="P41" s="239"/>
    </row>
    <row r="42" spans="3:16" s="135" customFormat="1" ht="15.75">
      <c r="C42" s="20" t="s">
        <v>214</v>
      </c>
      <c r="E42" s="20"/>
      <c r="H42" s="20" t="s">
        <v>214</v>
      </c>
      <c r="I42" s="20"/>
      <c r="L42" s="20"/>
      <c r="M42" s="218" t="s">
        <v>214</v>
      </c>
      <c r="N42" s="240"/>
      <c r="O42" s="240"/>
      <c r="P42" s="20"/>
    </row>
    <row r="43" spans="3:16" s="135" customFormat="1" ht="15.75">
      <c r="C43" s="217" t="s">
        <v>89</v>
      </c>
      <c r="D43" s="241"/>
      <c r="E43" s="241"/>
      <c r="H43" s="217" t="s">
        <v>89</v>
      </c>
      <c r="I43" s="241"/>
      <c r="J43" s="241"/>
      <c r="L43" s="20"/>
      <c r="M43" s="217" t="s">
        <v>89</v>
      </c>
      <c r="N43" s="241"/>
      <c r="O43" s="241"/>
      <c r="P43" s="20"/>
    </row>
    <row r="44" spans="1:15" s="135" customFormat="1" ht="15.75">
      <c r="A44" s="134"/>
      <c r="C44" s="98"/>
      <c r="D44" s="79" t="s">
        <v>91</v>
      </c>
      <c r="E44" s="92"/>
      <c r="F44" s="134"/>
      <c r="H44" s="134"/>
      <c r="I44" s="92" t="s">
        <v>91</v>
      </c>
      <c r="J44" s="134"/>
      <c r="K44" s="134"/>
      <c r="L44" s="21"/>
      <c r="M44" s="92"/>
      <c r="N44" s="92" t="s">
        <v>91</v>
      </c>
      <c r="O44" s="95"/>
    </row>
    <row r="45" spans="1:15" s="135" customFormat="1" ht="15">
      <c r="A45" s="22" t="s">
        <v>88</v>
      </c>
      <c r="C45" s="25"/>
      <c r="D45" s="47">
        <v>7.5</v>
      </c>
      <c r="E45" s="25"/>
      <c r="I45" s="25">
        <v>5.2</v>
      </c>
      <c r="L45" s="57"/>
      <c r="O45" s="32"/>
    </row>
    <row r="46" spans="1:15" s="135" customFormat="1" ht="15">
      <c r="A46" s="22" t="s">
        <v>98</v>
      </c>
      <c r="C46" s="25"/>
      <c r="D46" s="48">
        <v>9</v>
      </c>
      <c r="E46" s="25"/>
      <c r="I46" s="25">
        <v>5.1</v>
      </c>
      <c r="L46" s="57"/>
      <c r="O46" s="32"/>
    </row>
    <row r="47" spans="1:15" s="135" customFormat="1" ht="15">
      <c r="A47" s="22" t="s">
        <v>111</v>
      </c>
      <c r="C47" s="25"/>
      <c r="D47" s="48">
        <v>9.2</v>
      </c>
      <c r="E47" s="25"/>
      <c r="I47" s="25">
        <v>3.9</v>
      </c>
      <c r="L47" s="57"/>
      <c r="O47" s="32"/>
    </row>
    <row r="48" spans="1:15" s="135" customFormat="1" ht="15">
      <c r="A48" s="22" t="s">
        <v>114</v>
      </c>
      <c r="C48" s="25"/>
      <c r="D48" s="48">
        <v>6.7</v>
      </c>
      <c r="E48" s="25"/>
      <c r="I48" s="25">
        <v>3.2</v>
      </c>
      <c r="L48" s="25"/>
      <c r="O48" s="32"/>
    </row>
    <row r="49" spans="1:15" s="135" customFormat="1" ht="15">
      <c r="A49" s="22" t="s">
        <v>117</v>
      </c>
      <c r="C49" s="25"/>
      <c r="D49" s="48">
        <v>6.1</v>
      </c>
      <c r="E49" s="25"/>
      <c r="F49" s="143"/>
      <c r="H49" s="143"/>
      <c r="I49" s="25">
        <v>2.7</v>
      </c>
      <c r="J49" s="143"/>
      <c r="K49" s="143"/>
      <c r="L49" s="25"/>
      <c r="O49" s="32"/>
    </row>
    <row r="50" spans="1:15" s="135" customFormat="1" ht="15">
      <c r="A50" s="22" t="s">
        <v>123</v>
      </c>
      <c r="C50" s="25"/>
      <c r="D50" s="48">
        <v>8.2</v>
      </c>
      <c r="E50" s="25"/>
      <c r="F50" s="143"/>
      <c r="H50" s="143"/>
      <c r="I50" s="25">
        <v>3.9</v>
      </c>
      <c r="J50" s="143"/>
      <c r="K50" s="143"/>
      <c r="L50" s="25"/>
      <c r="O50" s="32"/>
    </row>
    <row r="51" spans="1:15" s="135" customFormat="1" ht="15">
      <c r="A51" s="22" t="s">
        <v>133</v>
      </c>
      <c r="C51" s="25"/>
      <c r="D51" s="48">
        <v>4.3</v>
      </c>
      <c r="E51" s="25"/>
      <c r="F51" s="143"/>
      <c r="H51" s="143"/>
      <c r="I51" s="25">
        <v>4.1</v>
      </c>
      <c r="J51" s="143"/>
      <c r="K51" s="143"/>
      <c r="L51" s="25"/>
      <c r="O51" s="32"/>
    </row>
    <row r="52" spans="1:15" s="135" customFormat="1" ht="15">
      <c r="A52" s="22" t="s">
        <v>139</v>
      </c>
      <c r="C52" s="25"/>
      <c r="D52" s="48">
        <v>6.3</v>
      </c>
      <c r="E52" s="25"/>
      <c r="F52" s="143"/>
      <c r="H52" s="143"/>
      <c r="I52" s="25">
        <v>5.5</v>
      </c>
      <c r="J52" s="143"/>
      <c r="K52" s="143"/>
      <c r="L52" s="25"/>
      <c r="N52" s="25">
        <v>3.7</v>
      </c>
      <c r="O52" s="32"/>
    </row>
    <row r="53" spans="1:15" s="135" customFormat="1" ht="15.75" thickBot="1">
      <c r="A53" s="141" t="s">
        <v>146</v>
      </c>
      <c r="B53" s="136"/>
      <c r="C53" s="141"/>
      <c r="D53" s="144">
        <v>6.2</v>
      </c>
      <c r="E53" s="141"/>
      <c r="F53" s="137"/>
      <c r="G53" s="136"/>
      <c r="H53" s="137"/>
      <c r="I53" s="141">
        <v>3.4</v>
      </c>
      <c r="J53" s="137"/>
      <c r="K53" s="137"/>
      <c r="L53" s="141"/>
      <c r="M53" s="136"/>
      <c r="N53" s="141">
        <v>4.2</v>
      </c>
      <c r="O53" s="122"/>
    </row>
    <row r="54" spans="1:15" s="135" customFormat="1" ht="18">
      <c r="A54" s="25" t="s">
        <v>181</v>
      </c>
      <c r="C54" s="25"/>
      <c r="D54" s="48">
        <v>12.9</v>
      </c>
      <c r="E54" s="25"/>
      <c r="F54" s="143"/>
      <c r="G54" s="143"/>
      <c r="H54" s="143"/>
      <c r="I54" s="25">
        <v>9.1</v>
      </c>
      <c r="J54" s="143"/>
      <c r="K54" s="143"/>
      <c r="L54" s="25"/>
      <c r="N54" s="128">
        <v>10.3</v>
      </c>
      <c r="O54" s="32"/>
    </row>
    <row r="55" spans="1:15" s="135" customFormat="1" ht="15">
      <c r="A55" s="25" t="s">
        <v>165</v>
      </c>
      <c r="B55" s="143"/>
      <c r="C55" s="25"/>
      <c r="D55" s="48">
        <v>23.1</v>
      </c>
      <c r="E55" s="25"/>
      <c r="F55" s="143"/>
      <c r="G55" s="143"/>
      <c r="H55" s="143"/>
      <c r="I55" s="25">
        <v>13.3</v>
      </c>
      <c r="J55" s="143"/>
      <c r="K55" s="143"/>
      <c r="L55" s="25"/>
      <c r="M55" s="143"/>
      <c r="N55" s="128">
        <v>11.6</v>
      </c>
      <c r="O55" s="32"/>
    </row>
    <row r="56" spans="1:15" s="135" customFormat="1" ht="15">
      <c r="A56" s="25" t="s">
        <v>187</v>
      </c>
      <c r="B56" s="143"/>
      <c r="C56" s="25"/>
      <c r="D56" s="48">
        <v>23.4</v>
      </c>
      <c r="E56" s="25"/>
      <c r="F56" s="143"/>
      <c r="G56" s="143"/>
      <c r="H56" s="143"/>
      <c r="I56" s="128">
        <v>15</v>
      </c>
      <c r="J56" s="143"/>
      <c r="K56" s="143"/>
      <c r="L56" s="25"/>
      <c r="M56" s="143"/>
      <c r="N56" s="128">
        <v>10.3</v>
      </c>
      <c r="O56" s="32"/>
    </row>
    <row r="57" spans="1:15" s="135" customFormat="1" ht="15">
      <c r="A57" s="25" t="s">
        <v>186</v>
      </c>
      <c r="B57" s="143"/>
      <c r="C57" s="25"/>
      <c r="D57" s="48">
        <v>22.9</v>
      </c>
      <c r="E57" s="25"/>
      <c r="F57" s="143"/>
      <c r="G57" s="143"/>
      <c r="H57" s="143"/>
      <c r="I57" s="128">
        <v>10.4</v>
      </c>
      <c r="J57" s="143"/>
      <c r="K57" s="143"/>
      <c r="L57" s="25"/>
      <c r="M57" s="143"/>
      <c r="N57" s="128">
        <v>11.3</v>
      </c>
      <c r="O57" s="32"/>
    </row>
    <row r="58" spans="1:15" s="135" customFormat="1" ht="15">
      <c r="A58" s="25" t="s">
        <v>209</v>
      </c>
      <c r="B58" s="143"/>
      <c r="C58" s="25"/>
      <c r="D58" s="48">
        <v>21.5</v>
      </c>
      <c r="E58" s="25"/>
      <c r="F58" s="143"/>
      <c r="G58" s="143"/>
      <c r="H58" s="143"/>
      <c r="I58" s="128">
        <v>9.8</v>
      </c>
      <c r="J58" s="143"/>
      <c r="K58" s="143"/>
      <c r="L58" s="25"/>
      <c r="M58" s="143"/>
      <c r="N58" s="128">
        <v>10.5</v>
      </c>
      <c r="O58" s="32"/>
    </row>
    <row r="59" spans="1:15" s="135" customFormat="1" ht="15">
      <c r="A59" s="25" t="s">
        <v>217</v>
      </c>
      <c r="B59" s="25"/>
      <c r="C59" s="57"/>
      <c r="D59" s="48">
        <v>16.86</v>
      </c>
      <c r="E59" s="25"/>
      <c r="F59" s="143"/>
      <c r="G59" s="143"/>
      <c r="H59" s="143"/>
      <c r="I59" s="128">
        <v>10.66</v>
      </c>
      <c r="J59" s="143"/>
      <c r="K59" s="143"/>
      <c r="L59" s="25"/>
      <c r="M59" s="143"/>
      <c r="N59" s="128">
        <v>11.47</v>
      </c>
      <c r="O59" s="57"/>
    </row>
    <row r="60" spans="1:15" s="135" customFormat="1" ht="15">
      <c r="A60" s="25" t="s">
        <v>219</v>
      </c>
      <c r="B60" s="25"/>
      <c r="C60" s="57"/>
      <c r="D60" s="48">
        <v>13.4</v>
      </c>
      <c r="E60" s="25"/>
      <c r="F60" s="143"/>
      <c r="G60" s="143"/>
      <c r="H60" s="143"/>
      <c r="I60" s="128">
        <v>8.6</v>
      </c>
      <c r="J60" s="143"/>
      <c r="K60" s="143"/>
      <c r="L60" s="25"/>
      <c r="M60" s="143"/>
      <c r="N60" s="128">
        <v>11.3</v>
      </c>
      <c r="O60" s="57"/>
    </row>
    <row r="61" spans="1:15" s="135" customFormat="1" ht="15">
      <c r="A61" s="25" t="s">
        <v>228</v>
      </c>
      <c r="B61" s="25"/>
      <c r="C61" s="57"/>
      <c r="D61" s="48">
        <v>14.5</v>
      </c>
      <c r="E61" s="25"/>
      <c r="F61" s="143"/>
      <c r="G61" s="143"/>
      <c r="H61" s="143"/>
      <c r="I61" s="128">
        <v>9.16</v>
      </c>
      <c r="J61" s="143"/>
      <c r="K61" s="143"/>
      <c r="L61" s="25"/>
      <c r="M61" s="143"/>
      <c r="N61" s="128">
        <v>10.65</v>
      </c>
      <c r="O61" s="57"/>
    </row>
    <row r="62" spans="1:15" s="135" customFormat="1" ht="18">
      <c r="A62" s="25" t="s">
        <v>243</v>
      </c>
      <c r="B62" s="25"/>
      <c r="C62" s="57"/>
      <c r="D62" s="48">
        <v>15.7</v>
      </c>
      <c r="E62" s="25"/>
      <c r="F62" s="143"/>
      <c r="G62" s="143"/>
      <c r="H62" s="143"/>
      <c r="I62" s="128">
        <v>10.57</v>
      </c>
      <c r="J62" s="143"/>
      <c r="K62" s="143"/>
      <c r="L62" s="25"/>
      <c r="M62" s="143"/>
      <c r="N62" s="128">
        <v>10.1</v>
      </c>
      <c r="O62" s="57"/>
    </row>
    <row r="63" spans="2:15" s="135" customFormat="1" ht="8.25" customHeight="1">
      <c r="B63" s="22"/>
      <c r="C63" s="22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2"/>
    </row>
    <row r="64" spans="1:15" s="135" customFormat="1" ht="16.5" customHeight="1">
      <c r="A64" s="186" t="s">
        <v>235</v>
      </c>
      <c r="B64" s="22"/>
      <c r="C64" s="22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2"/>
    </row>
    <row r="65" spans="1:15" s="135" customFormat="1" ht="15" customHeight="1">
      <c r="A65" s="25" t="s">
        <v>210</v>
      </c>
      <c r="B65" s="143"/>
      <c r="C65" s="143"/>
      <c r="D65" s="214">
        <v>0</v>
      </c>
      <c r="E65" s="143"/>
      <c r="F65" s="143"/>
      <c r="G65" s="25"/>
      <c r="H65" s="25"/>
      <c r="I65" s="25">
        <v>15.9</v>
      </c>
      <c r="J65" s="143"/>
      <c r="K65" s="25"/>
      <c r="L65" s="25"/>
      <c r="M65" s="25"/>
      <c r="N65" s="25">
        <v>11.2</v>
      </c>
      <c r="O65" s="22"/>
    </row>
    <row r="66" spans="1:15" s="135" customFormat="1" ht="15" customHeight="1">
      <c r="A66" s="25" t="s">
        <v>211</v>
      </c>
      <c r="B66" s="143"/>
      <c r="C66" s="143"/>
      <c r="D66" s="25">
        <v>13.05</v>
      </c>
      <c r="E66" s="143"/>
      <c r="F66" s="143"/>
      <c r="G66" s="25"/>
      <c r="H66" s="25"/>
      <c r="I66" s="25">
        <v>10.93</v>
      </c>
      <c r="J66" s="143"/>
      <c r="K66" s="25"/>
      <c r="L66" s="25"/>
      <c r="M66" s="25"/>
      <c r="N66" s="25">
        <v>13.66</v>
      </c>
      <c r="O66" s="22"/>
    </row>
    <row r="67" spans="1:15" s="135" customFormat="1" ht="15" customHeight="1">
      <c r="A67" s="215" t="s">
        <v>244</v>
      </c>
      <c r="B67" s="143"/>
      <c r="C67" s="143"/>
      <c r="D67" s="25">
        <v>20.98</v>
      </c>
      <c r="E67" s="143"/>
      <c r="F67" s="143"/>
      <c r="G67" s="25"/>
      <c r="H67" s="25"/>
      <c r="I67" s="25">
        <v>8.54</v>
      </c>
      <c r="J67" s="143"/>
      <c r="K67" s="25"/>
      <c r="L67" s="25"/>
      <c r="M67" s="25"/>
      <c r="N67" s="25">
        <v>4.9</v>
      </c>
      <c r="O67" s="22"/>
    </row>
    <row r="68" spans="1:15" s="135" customFormat="1" ht="15" customHeight="1">
      <c r="A68" s="25" t="s">
        <v>212</v>
      </c>
      <c r="B68" s="143"/>
      <c r="C68" s="143"/>
      <c r="D68" s="25">
        <v>10.24</v>
      </c>
      <c r="E68" s="143"/>
      <c r="F68" s="143"/>
      <c r="G68" s="25"/>
      <c r="H68" s="25"/>
      <c r="I68" s="25">
        <v>8.09</v>
      </c>
      <c r="J68" s="143"/>
      <c r="K68" s="25"/>
      <c r="L68" s="25"/>
      <c r="M68" s="25"/>
      <c r="N68" s="128">
        <v>7.72</v>
      </c>
      <c r="O68" s="22"/>
    </row>
    <row r="69" spans="2:15" s="135" customFormat="1" ht="6.75" customHeight="1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ht="14.25" customHeight="1">
      <c r="A70" s="133" t="s">
        <v>125</v>
      </c>
    </row>
    <row r="71" ht="16.5" customHeight="1">
      <c r="A71" s="133" t="s">
        <v>112</v>
      </c>
    </row>
    <row r="72" spans="1:13" ht="12.75">
      <c r="A72" s="133" t="s">
        <v>113</v>
      </c>
      <c r="D72" s="242"/>
      <c r="E72" s="242"/>
      <c r="F72" s="242"/>
      <c r="G72" s="242"/>
      <c r="H72" s="242"/>
      <c r="I72" s="242"/>
      <c r="J72" s="242"/>
      <c r="K72" s="242"/>
      <c r="L72" s="242"/>
      <c r="M72" s="242"/>
    </row>
    <row r="73" spans="1:13" ht="12.75">
      <c r="A73" s="133" t="s">
        <v>182</v>
      </c>
      <c r="D73" s="242"/>
      <c r="E73" s="242"/>
      <c r="F73" s="242"/>
      <c r="G73" s="242"/>
      <c r="H73" s="242"/>
      <c r="I73" s="242"/>
      <c r="J73" s="242"/>
      <c r="K73" s="242"/>
      <c r="L73" s="242"/>
      <c r="M73" s="242"/>
    </row>
    <row r="74" spans="1:13" ht="12.75">
      <c r="A74" s="133" t="s">
        <v>183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</row>
    <row r="75" spans="1:13" ht="12.75">
      <c r="A75" s="133" t="s">
        <v>153</v>
      </c>
      <c r="D75" s="242"/>
      <c r="E75" s="242"/>
      <c r="F75" s="242"/>
      <c r="G75" s="242"/>
      <c r="H75" s="242"/>
      <c r="I75" s="242"/>
      <c r="J75" s="242"/>
      <c r="K75" s="242"/>
      <c r="L75" s="242"/>
      <c r="M75" s="242"/>
    </row>
    <row r="76" spans="1:13" ht="12.75">
      <c r="A76" s="133" t="s">
        <v>154</v>
      </c>
      <c r="D76" s="242"/>
      <c r="E76" s="242"/>
      <c r="F76" s="242"/>
      <c r="G76" s="242"/>
      <c r="H76" s="242"/>
      <c r="I76" s="242"/>
      <c r="J76" s="242"/>
      <c r="K76" s="242"/>
      <c r="L76" s="242"/>
      <c r="M76" s="242"/>
    </row>
    <row r="77" spans="1:13" ht="12.75">
      <c r="A77" s="194" t="s">
        <v>184</v>
      </c>
      <c r="B77" s="194"/>
      <c r="C77" s="194"/>
      <c r="D77" s="242"/>
      <c r="E77" s="242"/>
      <c r="F77" s="242"/>
      <c r="G77" s="242"/>
      <c r="H77" s="242"/>
      <c r="I77" s="242"/>
      <c r="J77" s="242"/>
      <c r="K77" s="242"/>
      <c r="L77" s="242"/>
      <c r="M77" s="242"/>
    </row>
    <row r="78" spans="1:13" ht="12.75">
      <c r="A78" s="133" t="s">
        <v>245</v>
      </c>
      <c r="D78" s="242"/>
      <c r="E78" s="242"/>
      <c r="F78" s="242"/>
      <c r="G78" s="242"/>
      <c r="H78" s="242"/>
      <c r="I78" s="242"/>
      <c r="J78" s="242"/>
      <c r="K78" s="242"/>
      <c r="L78" s="242"/>
      <c r="M78" s="242"/>
    </row>
    <row r="79" spans="4:13" ht="12.75">
      <c r="D79" s="242"/>
      <c r="E79" s="242"/>
      <c r="F79" s="242"/>
      <c r="G79" s="242"/>
      <c r="H79" s="242"/>
      <c r="I79" s="242"/>
      <c r="J79" s="242"/>
      <c r="K79" s="242"/>
      <c r="L79" s="242"/>
      <c r="M79" s="242"/>
    </row>
    <row r="80" spans="4:13" ht="12.75">
      <c r="D80" s="242"/>
      <c r="E80" s="242"/>
      <c r="F80" s="242"/>
      <c r="G80" s="242"/>
      <c r="H80" s="242"/>
      <c r="I80" s="242"/>
      <c r="J80" s="242"/>
      <c r="K80" s="242"/>
      <c r="L80" s="242"/>
      <c r="M80" s="242"/>
    </row>
    <row r="81" spans="4:13" ht="12.75">
      <c r="D81" s="242"/>
      <c r="E81" s="242"/>
      <c r="F81" s="242"/>
      <c r="G81" s="242"/>
      <c r="H81" s="242"/>
      <c r="I81" s="242"/>
      <c r="J81" s="242"/>
      <c r="K81" s="242"/>
      <c r="L81" s="242"/>
      <c r="M81" s="242"/>
    </row>
    <row r="82" spans="4:13" ht="12.75">
      <c r="D82" s="242"/>
      <c r="E82" s="242"/>
      <c r="F82" s="242"/>
      <c r="G82" s="242"/>
      <c r="H82" s="242"/>
      <c r="I82" s="242"/>
      <c r="J82" s="242"/>
      <c r="K82" s="242"/>
      <c r="L82" s="242"/>
      <c r="M82" s="242"/>
    </row>
    <row r="83" spans="4:13" ht="12.75">
      <c r="D83" s="242"/>
      <c r="E83" s="242"/>
      <c r="F83" s="242"/>
      <c r="G83" s="242"/>
      <c r="H83" s="242"/>
      <c r="I83" s="242"/>
      <c r="J83" s="242"/>
      <c r="K83" s="242"/>
      <c r="L83" s="242"/>
      <c r="M83" s="242"/>
    </row>
    <row r="84" spans="4:13" ht="12.75">
      <c r="D84" s="242"/>
      <c r="E84" s="242"/>
      <c r="F84" s="242"/>
      <c r="G84" s="242"/>
      <c r="H84" s="242"/>
      <c r="I84" s="242"/>
      <c r="J84" s="242"/>
      <c r="K84" s="242"/>
      <c r="L84" s="242"/>
      <c r="M84" s="242"/>
    </row>
    <row r="85" spans="4:13" ht="12.75">
      <c r="D85" s="242"/>
      <c r="E85" s="242"/>
      <c r="F85" s="242"/>
      <c r="G85" s="242"/>
      <c r="H85" s="242"/>
      <c r="I85" s="242"/>
      <c r="J85" s="242"/>
      <c r="K85" s="242"/>
      <c r="L85" s="242"/>
      <c r="M85" s="242"/>
    </row>
    <row r="86" spans="4:13" ht="12.75">
      <c r="D86" s="242"/>
      <c r="E86" s="242"/>
      <c r="F86" s="242"/>
      <c r="G86" s="242"/>
      <c r="H86" s="242"/>
      <c r="I86" s="242"/>
      <c r="J86" s="242"/>
      <c r="K86" s="242"/>
      <c r="L86" s="242"/>
      <c r="M86" s="242"/>
    </row>
    <row r="87" spans="4:13" ht="12.75">
      <c r="D87" s="242"/>
      <c r="E87" s="242"/>
      <c r="F87" s="242"/>
      <c r="G87" s="242"/>
      <c r="H87" s="242"/>
      <c r="I87" s="242"/>
      <c r="J87" s="242"/>
      <c r="K87" s="242"/>
      <c r="L87" s="242"/>
      <c r="M87" s="242"/>
    </row>
    <row r="88" spans="4:13" ht="12.75">
      <c r="D88" s="242"/>
      <c r="E88" s="242"/>
      <c r="F88" s="242"/>
      <c r="G88" s="242"/>
      <c r="H88" s="242"/>
      <c r="I88" s="242"/>
      <c r="J88" s="242"/>
      <c r="K88" s="242"/>
      <c r="L88" s="242"/>
      <c r="M88" s="242"/>
    </row>
    <row r="89" spans="4:13" ht="12.75">
      <c r="D89" s="242"/>
      <c r="E89" s="242"/>
      <c r="F89" s="242"/>
      <c r="G89" s="242"/>
      <c r="H89" s="242"/>
      <c r="I89" s="242"/>
      <c r="J89" s="242"/>
      <c r="K89" s="242"/>
      <c r="L89" s="242"/>
      <c r="M89" s="242"/>
    </row>
    <row r="90" spans="4:13" ht="12.75">
      <c r="D90" s="242"/>
      <c r="E90" s="242"/>
      <c r="F90" s="242"/>
      <c r="G90" s="242"/>
      <c r="H90" s="242"/>
      <c r="I90" s="242"/>
      <c r="J90" s="242"/>
      <c r="K90" s="242"/>
      <c r="L90" s="242"/>
      <c r="M90" s="242"/>
    </row>
  </sheetData>
  <sheetProtection/>
  <mergeCells count="4">
    <mergeCell ref="M43:O43"/>
    <mergeCell ref="H43:J43"/>
    <mergeCell ref="C43:E43"/>
    <mergeCell ref="M42:O42"/>
  </mergeCells>
  <printOptions/>
  <pageMargins left="0.7480314960629921" right="0.7480314960629921" top="0.5905511811023623" bottom="0.5905511811023623" header="0.31496062992125984" footer="0.31496062992125984"/>
  <pageSetup fitToHeight="1" fitToWidth="1" horizontalDpi="600" verticalDpi="600" orientation="portrait" paperSize="9" scale="65" r:id="rId1"/>
  <headerFooter alignWithMargins="0">
    <oddHeader>&amp;R&amp;"Arial,Bold"&amp;14ROAD NETWORK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80"/>
  <sheetViews>
    <sheetView zoomScale="64" zoomScaleNormal="64" zoomScalePageLayoutView="0" workbookViewId="0" topLeftCell="A1">
      <pane xSplit="3" ySplit="7" topLeftCell="D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8" sqref="D8"/>
    </sheetView>
  </sheetViews>
  <sheetFormatPr defaultColWidth="9.140625" defaultRowHeight="12.75"/>
  <cols>
    <col min="1" max="1" width="1.421875" style="133" customWidth="1"/>
    <col min="2" max="2" width="5.140625" style="133" customWidth="1"/>
    <col min="3" max="3" width="27.421875" style="133" customWidth="1"/>
    <col min="4" max="4" width="7.7109375" style="133" customWidth="1"/>
    <col min="5" max="5" width="12.00390625" style="133" customWidth="1"/>
    <col min="6" max="6" width="10.7109375" style="133" customWidth="1"/>
    <col min="7" max="7" width="7.7109375" style="133" customWidth="1"/>
    <col min="8" max="8" width="12.57421875" style="133" customWidth="1"/>
    <col min="9" max="9" width="11.57421875" style="133" customWidth="1"/>
    <col min="10" max="10" width="7.7109375" style="133" customWidth="1"/>
    <col min="11" max="11" width="12.57421875" style="133" customWidth="1"/>
    <col min="12" max="12" width="11.7109375" style="133" customWidth="1"/>
    <col min="13" max="13" width="7.7109375" style="133" customWidth="1"/>
    <col min="14" max="14" width="11.8515625" style="133" customWidth="1"/>
    <col min="15" max="15" width="12.140625" style="133" customWidth="1"/>
    <col min="16" max="16" width="7.7109375" style="133" customWidth="1"/>
    <col min="17" max="17" width="12.8515625" style="133" customWidth="1"/>
    <col min="18" max="18" width="21.00390625" style="133" customWidth="1"/>
    <col min="19" max="19" width="31.8515625" style="133" customWidth="1"/>
    <col min="20" max="16384" width="9.140625" style="133" customWidth="1"/>
  </cols>
  <sheetData>
    <row r="1" spans="2:14" ht="29.25" customHeight="1">
      <c r="B1" s="133" t="s">
        <v>116</v>
      </c>
      <c r="C1" s="133" t="s">
        <v>147</v>
      </c>
      <c r="N1" s="145" t="s">
        <v>191</v>
      </c>
    </row>
    <row r="2" spans="2:17" s="4" customFormat="1" ht="23.25">
      <c r="B2" s="146" t="s">
        <v>220</v>
      </c>
      <c r="C2" s="147"/>
      <c r="D2" s="148"/>
      <c r="E2" s="83"/>
      <c r="F2" s="83"/>
      <c r="G2" s="147"/>
      <c r="H2" s="147"/>
      <c r="I2" s="83"/>
      <c r="J2" s="83"/>
      <c r="K2" s="83"/>
      <c r="L2" s="83"/>
      <c r="M2" s="83"/>
      <c r="N2" s="147"/>
      <c r="O2" s="115"/>
      <c r="P2" s="147"/>
      <c r="Q2" s="147"/>
    </row>
    <row r="3" spans="2:17" s="18" customFormat="1" ht="12.75" customHeight="1">
      <c r="B3" s="148"/>
      <c r="C3" s="148"/>
      <c r="D3" s="146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244" s="4" customFormat="1" ht="20.25">
      <c r="A4" s="91"/>
      <c r="B4" s="149"/>
      <c r="C4" s="150"/>
      <c r="D4" s="151" t="s">
        <v>3</v>
      </c>
      <c r="E4" s="151"/>
      <c r="F4" s="150"/>
      <c r="G4" s="151" t="s">
        <v>10</v>
      </c>
      <c r="H4" s="151"/>
      <c r="I4" s="150"/>
      <c r="J4" s="151" t="s">
        <v>14</v>
      </c>
      <c r="K4" s="151"/>
      <c r="L4" s="150"/>
      <c r="M4" s="151" t="s">
        <v>101</v>
      </c>
      <c r="N4" s="151"/>
      <c r="O4" s="150"/>
      <c r="P4" s="151" t="s">
        <v>102</v>
      </c>
      <c r="Q4" s="151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</row>
    <row r="5" spans="1:244" s="4" customFormat="1" ht="20.25">
      <c r="A5" s="22"/>
      <c r="B5" s="83"/>
      <c r="C5" s="152"/>
      <c r="D5" s="153" t="s">
        <v>108</v>
      </c>
      <c r="E5" s="153"/>
      <c r="F5" s="152"/>
      <c r="G5" s="153" t="s">
        <v>108</v>
      </c>
      <c r="H5" s="153"/>
      <c r="I5" s="152"/>
      <c r="J5" s="153" t="s">
        <v>108</v>
      </c>
      <c r="K5" s="153"/>
      <c r="L5" s="152"/>
      <c r="M5" s="153" t="s">
        <v>108</v>
      </c>
      <c r="N5" s="153"/>
      <c r="O5" s="152"/>
      <c r="P5" s="153" t="s">
        <v>108</v>
      </c>
      <c r="Q5" s="153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</row>
    <row r="6" spans="1:244" ht="33" customHeight="1">
      <c r="A6" s="134"/>
      <c r="B6" s="154"/>
      <c r="C6" s="155"/>
      <c r="D6" s="156" t="s">
        <v>100</v>
      </c>
      <c r="E6" s="157" t="s">
        <v>171</v>
      </c>
      <c r="F6" s="158"/>
      <c r="G6" s="156" t="s">
        <v>100</v>
      </c>
      <c r="H6" s="157" t="s">
        <v>171</v>
      </c>
      <c r="I6" s="158"/>
      <c r="J6" s="156" t="s">
        <v>100</v>
      </c>
      <c r="K6" s="157" t="s">
        <v>171</v>
      </c>
      <c r="L6" s="158"/>
      <c r="M6" s="156" t="s">
        <v>100</v>
      </c>
      <c r="N6" s="157" t="s">
        <v>171</v>
      </c>
      <c r="O6" s="158"/>
      <c r="P6" s="156" t="s">
        <v>100</v>
      </c>
      <c r="Q6" s="157" t="s">
        <v>171</v>
      </c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</row>
    <row r="7" spans="2:17" ht="24.75" customHeight="1">
      <c r="B7" s="115" t="s">
        <v>105</v>
      </c>
      <c r="C7" s="159" t="s">
        <v>236</v>
      </c>
      <c r="D7" s="160"/>
      <c r="E7" s="160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61" t="s">
        <v>107</v>
      </c>
    </row>
    <row r="8" spans="2:20" ht="22.5" customHeight="1">
      <c r="B8" s="162" t="s">
        <v>23</v>
      </c>
      <c r="C8" s="147"/>
      <c r="D8" s="172">
        <v>3.656683447488962</v>
      </c>
      <c r="E8" s="172">
        <v>19.785499554433166</v>
      </c>
      <c r="F8" s="163"/>
      <c r="G8" s="172">
        <v>3.4197617046712314</v>
      </c>
      <c r="H8" s="172">
        <v>19.846305838489034</v>
      </c>
      <c r="I8" s="163"/>
      <c r="J8" s="172">
        <v>3.5074341427745925</v>
      </c>
      <c r="K8" s="172">
        <v>19.466111368252626</v>
      </c>
      <c r="L8" s="163"/>
      <c r="M8" s="172">
        <v>5.669105080177485</v>
      </c>
      <c r="N8" s="172">
        <v>26.253934744222718</v>
      </c>
      <c r="O8" s="163"/>
      <c r="P8" s="172">
        <v>5.183822546986674</v>
      </c>
      <c r="Q8" s="172">
        <v>24.750895642550613</v>
      </c>
      <c r="S8" s="162"/>
      <c r="T8" s="170"/>
    </row>
    <row r="9" spans="2:20" ht="16.5" customHeight="1">
      <c r="B9" s="162" t="s">
        <v>24</v>
      </c>
      <c r="C9" s="147"/>
      <c r="D9" s="172">
        <v>3.0723473374330075</v>
      </c>
      <c r="E9" s="172">
        <v>24.441957403046885</v>
      </c>
      <c r="F9" s="163"/>
      <c r="G9" s="172">
        <v>2.3978665442678886</v>
      </c>
      <c r="H9" s="172">
        <v>21.068391362342613</v>
      </c>
      <c r="I9" s="163"/>
      <c r="J9" s="172">
        <v>2.276054918171981</v>
      </c>
      <c r="K9" s="172">
        <v>18.540841080400888</v>
      </c>
      <c r="L9" s="163"/>
      <c r="M9" s="172">
        <v>4.8267816498960805</v>
      </c>
      <c r="N9" s="172">
        <v>25.320809951245128</v>
      </c>
      <c r="O9" s="163"/>
      <c r="P9" s="172">
        <v>3.544660502190058</v>
      </c>
      <c r="Q9" s="172">
        <v>22.703990052340735</v>
      </c>
      <c r="S9" s="162"/>
      <c r="T9" s="170"/>
    </row>
    <row r="10" spans="2:20" ht="16.5" customHeight="1">
      <c r="B10" s="162" t="s">
        <v>25</v>
      </c>
      <c r="C10" s="147"/>
      <c r="D10" s="172">
        <v>3.129180293141215</v>
      </c>
      <c r="E10" s="172">
        <v>25.50518029043995</v>
      </c>
      <c r="F10" s="163"/>
      <c r="G10" s="172">
        <v>5.794440550118185</v>
      </c>
      <c r="H10" s="172">
        <v>32.118220816920065</v>
      </c>
      <c r="I10" s="163"/>
      <c r="J10" s="172">
        <v>4.3969782340320345</v>
      </c>
      <c r="K10" s="172">
        <v>25.70167630329515</v>
      </c>
      <c r="L10" s="163"/>
      <c r="M10" s="172">
        <v>6.011868979620575</v>
      </c>
      <c r="N10" s="172">
        <v>28.618430187073717</v>
      </c>
      <c r="O10" s="163"/>
      <c r="P10" s="172">
        <v>5.220115791127601</v>
      </c>
      <c r="Q10" s="172">
        <v>27.969906484116247</v>
      </c>
      <c r="S10" s="162"/>
      <c r="T10" s="170"/>
    </row>
    <row r="11" spans="2:20" ht="16.5" customHeight="1">
      <c r="B11" s="162" t="s">
        <v>26</v>
      </c>
      <c r="C11" s="147"/>
      <c r="D11" s="172">
        <v>8.554681558079348</v>
      </c>
      <c r="E11" s="172">
        <v>33.03500359599501</v>
      </c>
      <c r="F11" s="163"/>
      <c r="G11" s="172">
        <v>19.906795713635614</v>
      </c>
      <c r="H11" s="172">
        <v>41.820566109875315</v>
      </c>
      <c r="I11" s="163"/>
      <c r="J11" s="172">
        <v>15.89398007020812</v>
      </c>
      <c r="K11" s="172">
        <v>41.35738721696459</v>
      </c>
      <c r="L11" s="163"/>
      <c r="M11" s="172">
        <v>18.241011765432134</v>
      </c>
      <c r="N11" s="172">
        <v>36.454964005037226</v>
      </c>
      <c r="O11" s="163"/>
      <c r="P11" s="172">
        <v>16.097664519976664</v>
      </c>
      <c r="Q11" s="172">
        <v>38.069529981654746</v>
      </c>
      <c r="S11" s="162"/>
      <c r="T11" s="170"/>
    </row>
    <row r="12" spans="2:20" ht="16.5" customHeight="1">
      <c r="B12" s="162" t="s">
        <v>28</v>
      </c>
      <c r="C12" s="147"/>
      <c r="D12" s="172">
        <v>2.5954254276447406</v>
      </c>
      <c r="E12" s="172">
        <v>22.220369990456334</v>
      </c>
      <c r="F12" s="163"/>
      <c r="G12" s="172">
        <v>2.0812103567005193</v>
      </c>
      <c r="H12" s="172">
        <v>15.91720324428723</v>
      </c>
      <c r="I12" s="163"/>
      <c r="J12" s="172">
        <v>4.558888118720413</v>
      </c>
      <c r="K12" s="172">
        <v>24.43571082985579</v>
      </c>
      <c r="L12" s="163"/>
      <c r="M12" s="172">
        <v>8.139894084276003</v>
      </c>
      <c r="N12" s="172">
        <v>34.83810877292374</v>
      </c>
      <c r="O12" s="163"/>
      <c r="P12" s="172">
        <v>6.131422273367283</v>
      </c>
      <c r="Q12" s="172">
        <v>29.44451063233177</v>
      </c>
      <c r="S12" s="162"/>
      <c r="T12" s="170"/>
    </row>
    <row r="13" spans="2:20" ht="16.5" customHeight="1">
      <c r="B13" s="162" t="s">
        <v>29</v>
      </c>
      <c r="C13" s="147"/>
      <c r="D13" s="172">
        <v>5.186798799958579</v>
      </c>
      <c r="E13" s="172">
        <v>28.66995886143861</v>
      </c>
      <c r="F13" s="163"/>
      <c r="G13" s="172">
        <v>5.4974813476869295</v>
      </c>
      <c r="H13" s="172">
        <v>29.866820734514356</v>
      </c>
      <c r="I13" s="163"/>
      <c r="J13" s="172">
        <v>10.7510371392912</v>
      </c>
      <c r="K13" s="172">
        <v>35.124611886819196</v>
      </c>
      <c r="L13" s="163"/>
      <c r="M13" s="172">
        <v>18.6485904734472</v>
      </c>
      <c r="N13" s="172">
        <v>39.74908503765751</v>
      </c>
      <c r="O13" s="163"/>
      <c r="P13" s="172">
        <v>12.498353493318856</v>
      </c>
      <c r="Q13" s="172">
        <v>35.38358704506146</v>
      </c>
      <c r="S13" s="162"/>
      <c r="T13" s="170"/>
    </row>
    <row r="14" spans="2:20" ht="16.5" customHeight="1">
      <c r="B14" s="162" t="s">
        <v>30</v>
      </c>
      <c r="C14" s="147"/>
      <c r="D14" s="172">
        <v>1.523587462118351</v>
      </c>
      <c r="E14" s="172">
        <v>20.73704677537797</v>
      </c>
      <c r="F14" s="163"/>
      <c r="G14" s="172">
        <v>2.5736463371265614</v>
      </c>
      <c r="H14" s="172">
        <v>22.93911491674747</v>
      </c>
      <c r="I14" s="163"/>
      <c r="J14" s="172">
        <v>1.279860352754309</v>
      </c>
      <c r="K14" s="172">
        <v>12.97664062097513</v>
      </c>
      <c r="L14" s="163"/>
      <c r="M14" s="172">
        <v>4.001688922027554</v>
      </c>
      <c r="N14" s="172">
        <v>25.091521212619856</v>
      </c>
      <c r="O14" s="163"/>
      <c r="P14" s="172">
        <v>3.305223171071929</v>
      </c>
      <c r="Q14" s="172">
        <v>22.60877115453389</v>
      </c>
      <c r="S14" s="162"/>
      <c r="T14" s="170"/>
    </row>
    <row r="15" spans="2:20" ht="16.5" customHeight="1">
      <c r="B15" s="162" t="s">
        <v>31</v>
      </c>
      <c r="C15" s="147"/>
      <c r="D15" s="172">
        <v>3.798865641763409</v>
      </c>
      <c r="E15" s="172">
        <v>19.23201079423085</v>
      </c>
      <c r="F15" s="163"/>
      <c r="G15" s="172">
        <v>5.53927973702209</v>
      </c>
      <c r="H15" s="172">
        <v>26.998190365602216</v>
      </c>
      <c r="I15" s="163"/>
      <c r="J15" s="172">
        <v>8.86456006583048</v>
      </c>
      <c r="K15" s="172">
        <v>29.917738827562445</v>
      </c>
      <c r="L15" s="163"/>
      <c r="M15" s="172">
        <v>9.940415870183346</v>
      </c>
      <c r="N15" s="172">
        <v>32.18919278270988</v>
      </c>
      <c r="O15" s="163"/>
      <c r="P15" s="172">
        <v>8.31707285477825</v>
      </c>
      <c r="Q15" s="172">
        <v>29.45033335176926</v>
      </c>
      <c r="S15" s="162"/>
      <c r="T15" s="170"/>
    </row>
    <row r="16" spans="2:20" ht="16.5" customHeight="1">
      <c r="B16" s="162" t="s">
        <v>32</v>
      </c>
      <c r="C16" s="147"/>
      <c r="D16" s="172">
        <v>4.446380634235344</v>
      </c>
      <c r="E16" s="172">
        <v>23.765372162329008</v>
      </c>
      <c r="F16" s="163"/>
      <c r="G16" s="172">
        <v>4.182557977788078</v>
      </c>
      <c r="H16" s="172">
        <v>24.132484918465877</v>
      </c>
      <c r="I16" s="163"/>
      <c r="J16" s="172">
        <v>4.859234305238445</v>
      </c>
      <c r="K16" s="172">
        <v>24.23711693139065</v>
      </c>
      <c r="L16" s="163"/>
      <c r="M16" s="172">
        <v>5.721004546835144</v>
      </c>
      <c r="N16" s="172">
        <v>29.23764149393672</v>
      </c>
      <c r="O16" s="163"/>
      <c r="P16" s="172">
        <v>5.381342254792614</v>
      </c>
      <c r="Q16" s="172">
        <v>27.832947114388755</v>
      </c>
      <c r="S16" s="162"/>
      <c r="T16" s="170"/>
    </row>
    <row r="17" spans="2:20" ht="16.5" customHeight="1">
      <c r="B17" s="162" t="s">
        <v>33</v>
      </c>
      <c r="C17" s="147"/>
      <c r="D17" s="172">
        <v>3.831002363894579</v>
      </c>
      <c r="E17" s="172">
        <v>26.618918248148777</v>
      </c>
      <c r="F17" s="163"/>
      <c r="G17" s="172">
        <v>5.889047617834236</v>
      </c>
      <c r="H17" s="172">
        <v>32.430398562374556</v>
      </c>
      <c r="I17" s="163"/>
      <c r="J17" s="172">
        <v>3.1226659168247477</v>
      </c>
      <c r="K17" s="172">
        <v>27.72456014358069</v>
      </c>
      <c r="L17" s="163"/>
      <c r="M17" s="172">
        <v>4.795932685273742</v>
      </c>
      <c r="N17" s="172">
        <v>28.441596248531603</v>
      </c>
      <c r="O17" s="163"/>
      <c r="P17" s="172">
        <v>4.492872283263254</v>
      </c>
      <c r="Q17" s="172">
        <v>28.80007397985485</v>
      </c>
      <c r="S17" s="162"/>
      <c r="T17" s="170"/>
    </row>
    <row r="18" spans="2:20" ht="16.5" customHeight="1">
      <c r="B18" s="162" t="s">
        <v>34</v>
      </c>
      <c r="C18" s="147"/>
      <c r="D18" s="172">
        <v>1.9645839918569248</v>
      </c>
      <c r="E18" s="172">
        <v>13.515660913768135</v>
      </c>
      <c r="F18" s="163"/>
      <c r="G18" s="172">
        <v>2.4419267797767263</v>
      </c>
      <c r="H18" s="172">
        <v>23.827198615978322</v>
      </c>
      <c r="I18" s="163"/>
      <c r="J18" s="172">
        <v>7.7310201187548335</v>
      </c>
      <c r="K18" s="172">
        <v>25.26637810112132</v>
      </c>
      <c r="L18" s="163"/>
      <c r="M18" s="172">
        <v>8.220746521952702</v>
      </c>
      <c r="N18" s="172">
        <v>31.724838007981248</v>
      </c>
      <c r="O18" s="163"/>
      <c r="P18" s="172">
        <v>7.064361085308471</v>
      </c>
      <c r="Q18" s="172">
        <v>28.414265423195307</v>
      </c>
      <c r="S18" s="162"/>
      <c r="T18" s="170"/>
    </row>
    <row r="19" spans="2:20" ht="16.5" customHeight="1">
      <c r="B19" s="162" t="s">
        <v>35</v>
      </c>
      <c r="C19" s="147"/>
      <c r="D19" s="172">
        <v>5.529187329810833</v>
      </c>
      <c r="E19" s="172">
        <v>23.54840438024363</v>
      </c>
      <c r="F19" s="163"/>
      <c r="G19" s="172">
        <v>3.927859813650221</v>
      </c>
      <c r="H19" s="172">
        <v>20.507330466556937</v>
      </c>
      <c r="I19" s="163"/>
      <c r="J19" s="172">
        <v>5.096916541021324</v>
      </c>
      <c r="K19" s="172">
        <v>22.991886098401658</v>
      </c>
      <c r="L19" s="163"/>
      <c r="M19" s="172">
        <v>6.793599504385142</v>
      </c>
      <c r="N19" s="172">
        <v>28.308029070624087</v>
      </c>
      <c r="O19" s="163"/>
      <c r="P19" s="172">
        <v>6.411224427699254</v>
      </c>
      <c r="Q19" s="172">
        <v>27.0673458904227</v>
      </c>
      <c r="S19" s="162"/>
      <c r="T19" s="170"/>
    </row>
    <row r="20" spans="2:20" ht="16.5" customHeight="1">
      <c r="B20" s="162" t="s">
        <v>80</v>
      </c>
      <c r="C20" s="147"/>
      <c r="D20" s="172">
        <v>6.383820560982313</v>
      </c>
      <c r="E20" s="172">
        <v>27.92807717416464</v>
      </c>
      <c r="F20" s="163"/>
      <c r="G20" s="172">
        <v>6.242417420478005</v>
      </c>
      <c r="H20" s="172">
        <v>30.584845513608595</v>
      </c>
      <c r="I20" s="163"/>
      <c r="J20" s="172">
        <v>7.887841580061475</v>
      </c>
      <c r="K20" s="172">
        <v>40.09057503664049</v>
      </c>
      <c r="L20" s="163"/>
      <c r="M20" s="172">
        <v>7.343389615840746</v>
      </c>
      <c r="N20" s="172">
        <v>36.240010073489145</v>
      </c>
      <c r="O20" s="163"/>
      <c r="P20" s="172">
        <v>6.993089321671624</v>
      </c>
      <c r="Q20" s="172">
        <v>33.643465502953696</v>
      </c>
      <c r="S20" s="162"/>
      <c r="T20" s="170"/>
    </row>
    <row r="21" spans="2:20" ht="16.5" customHeight="1">
      <c r="B21" s="162" t="s">
        <v>36</v>
      </c>
      <c r="C21" s="147"/>
      <c r="D21" s="172">
        <v>3.6802905918586926</v>
      </c>
      <c r="E21" s="172">
        <v>25.016161947972375</v>
      </c>
      <c r="F21" s="163"/>
      <c r="G21" s="172">
        <v>4.146405685244984</v>
      </c>
      <c r="H21" s="172">
        <v>27.546987938958935</v>
      </c>
      <c r="I21" s="163"/>
      <c r="J21" s="172">
        <v>5.740554842026476</v>
      </c>
      <c r="K21" s="172">
        <v>28.4930440136712</v>
      </c>
      <c r="L21" s="163"/>
      <c r="M21" s="172">
        <v>6.764921244584555</v>
      </c>
      <c r="N21" s="172">
        <v>32.39047800102185</v>
      </c>
      <c r="O21" s="163"/>
      <c r="P21" s="172">
        <v>6.015818208966133</v>
      </c>
      <c r="Q21" s="172">
        <v>30.56443442194287</v>
      </c>
      <c r="S21" s="162"/>
      <c r="T21" s="170"/>
    </row>
    <row r="22" spans="2:20" ht="16.5" customHeight="1">
      <c r="B22" s="162" t="s">
        <v>37</v>
      </c>
      <c r="C22" s="147"/>
      <c r="D22" s="172">
        <v>6.021887985107184</v>
      </c>
      <c r="E22" s="172">
        <v>25.710995495064726</v>
      </c>
      <c r="F22" s="163"/>
      <c r="G22" s="172">
        <v>6.091931165507295</v>
      </c>
      <c r="H22" s="172">
        <v>28.002499792404823</v>
      </c>
      <c r="I22" s="163"/>
      <c r="J22" s="172">
        <v>4.380992848002262</v>
      </c>
      <c r="K22" s="172">
        <v>28.446967070315647</v>
      </c>
      <c r="L22" s="163"/>
      <c r="M22" s="172">
        <v>4.374854907217926</v>
      </c>
      <c r="N22" s="172">
        <v>27.58070913949535</v>
      </c>
      <c r="O22" s="163"/>
      <c r="P22" s="172">
        <v>4.832968238081711</v>
      </c>
      <c r="Q22" s="172">
        <v>27.510701422616503</v>
      </c>
      <c r="S22" s="162"/>
      <c r="T22" s="170"/>
    </row>
    <row r="23" spans="2:20" ht="16.5" customHeight="1">
      <c r="B23" s="162" t="s">
        <v>124</v>
      </c>
      <c r="C23" s="147"/>
      <c r="D23" s="172">
        <v>3.8909180448967864</v>
      </c>
      <c r="E23" s="172">
        <v>25.275988016579802</v>
      </c>
      <c r="F23" s="163"/>
      <c r="G23" s="172">
        <v>2.150422785936805</v>
      </c>
      <c r="H23" s="172">
        <v>17.991989319092124</v>
      </c>
      <c r="I23" s="163"/>
      <c r="J23" s="172">
        <v>2.4320850737450894</v>
      </c>
      <c r="K23" s="172">
        <v>16.65405623905225</v>
      </c>
      <c r="L23" s="163"/>
      <c r="M23" s="172">
        <v>4.473287135788637</v>
      </c>
      <c r="N23" s="172">
        <v>26.228679406620053</v>
      </c>
      <c r="O23" s="163"/>
      <c r="P23" s="172">
        <v>4.103926716472043</v>
      </c>
      <c r="Q23" s="172">
        <v>24.771968431326105</v>
      </c>
      <c r="S23" s="162"/>
      <c r="T23" s="170"/>
    </row>
    <row r="24" spans="2:20" ht="16.5" customHeight="1">
      <c r="B24" s="162" t="s">
        <v>39</v>
      </c>
      <c r="C24" s="147"/>
      <c r="D24" s="172">
        <v>4.191435092667115</v>
      </c>
      <c r="E24" s="172">
        <v>26.414768704942293</v>
      </c>
      <c r="F24" s="163"/>
      <c r="G24" s="172">
        <v>6.695793527615135</v>
      </c>
      <c r="H24" s="172">
        <v>30.295958097145775</v>
      </c>
      <c r="I24" s="163"/>
      <c r="J24" s="172">
        <v>9.638054104110005</v>
      </c>
      <c r="K24" s="172">
        <v>31.19156468553306</v>
      </c>
      <c r="L24" s="163"/>
      <c r="M24" s="172">
        <v>10.084130986212475</v>
      </c>
      <c r="N24" s="172">
        <v>29.95406449596643</v>
      </c>
      <c r="O24" s="163"/>
      <c r="P24" s="172">
        <v>8.280103494008443</v>
      </c>
      <c r="Q24" s="172">
        <v>29.53311052181084</v>
      </c>
      <c r="S24" s="162"/>
      <c r="T24" s="170"/>
    </row>
    <row r="25" spans="2:20" ht="16.5" customHeight="1">
      <c r="B25" s="162" t="s">
        <v>40</v>
      </c>
      <c r="C25" s="147"/>
      <c r="D25" s="172">
        <v>2.51896753405778</v>
      </c>
      <c r="E25" s="172">
        <v>18.07727671155384</v>
      </c>
      <c r="F25" s="163"/>
      <c r="G25" s="172">
        <v>4.642348025217212</v>
      </c>
      <c r="H25" s="172">
        <v>26.135336740465338</v>
      </c>
      <c r="I25" s="163"/>
      <c r="J25" s="172">
        <v>10.295347991950479</v>
      </c>
      <c r="K25" s="172">
        <v>33.637886805560704</v>
      </c>
      <c r="L25" s="163"/>
      <c r="M25" s="172">
        <v>7.487001306938127</v>
      </c>
      <c r="N25" s="172">
        <v>30.480740669000454</v>
      </c>
      <c r="O25" s="163"/>
      <c r="P25" s="172">
        <v>7.405568247461317</v>
      </c>
      <c r="Q25" s="172">
        <v>29.884534425042148</v>
      </c>
      <c r="S25" s="162"/>
      <c r="T25" s="170"/>
    </row>
    <row r="26" spans="2:20" ht="16.5" customHeight="1">
      <c r="B26" s="162" t="s">
        <v>41</v>
      </c>
      <c r="C26" s="147"/>
      <c r="D26" s="172">
        <v>3.188730382115194</v>
      </c>
      <c r="E26" s="172">
        <v>21.59357154690816</v>
      </c>
      <c r="F26" s="163"/>
      <c r="G26" s="172">
        <v>4.841327696476836</v>
      </c>
      <c r="H26" s="172">
        <v>25.75314042920206</v>
      </c>
      <c r="I26" s="163"/>
      <c r="J26" s="172">
        <v>4.947492960570556</v>
      </c>
      <c r="K26" s="172">
        <v>29.87743100556306</v>
      </c>
      <c r="L26" s="163"/>
      <c r="M26" s="172">
        <v>7.3863499290487455</v>
      </c>
      <c r="N26" s="172">
        <v>31.157394779576506</v>
      </c>
      <c r="O26" s="163"/>
      <c r="P26" s="172">
        <v>6.0819735525686385</v>
      </c>
      <c r="Q26" s="172">
        <v>28.87209919974482</v>
      </c>
      <c r="S26" s="162"/>
      <c r="T26" s="170"/>
    </row>
    <row r="27" spans="2:20" ht="16.5" customHeight="1">
      <c r="B27" s="162" t="s">
        <v>42</v>
      </c>
      <c r="C27" s="147"/>
      <c r="D27" s="172">
        <v>3.4111680094080983</v>
      </c>
      <c r="E27" s="172">
        <v>25.750006039067586</v>
      </c>
      <c r="F27" s="163"/>
      <c r="G27" s="172">
        <v>2.3281211616523567</v>
      </c>
      <c r="H27" s="172">
        <v>23.461491910556475</v>
      </c>
      <c r="I27" s="163"/>
      <c r="J27" s="172">
        <v>3.2423899067994686</v>
      </c>
      <c r="K27" s="172">
        <v>21.95663769578241</v>
      </c>
      <c r="L27" s="163"/>
      <c r="M27" s="172">
        <v>6.853127351646114</v>
      </c>
      <c r="N27" s="172">
        <v>28.638719686324293</v>
      </c>
      <c r="O27" s="163"/>
      <c r="P27" s="172">
        <v>4.797671200302029</v>
      </c>
      <c r="Q27" s="172">
        <v>25.793725180399946</v>
      </c>
      <c r="S27" s="162"/>
      <c r="T27" s="170"/>
    </row>
    <row r="28" spans="2:20" ht="16.5" customHeight="1">
      <c r="B28" s="162" t="s">
        <v>43</v>
      </c>
      <c r="C28" s="147"/>
      <c r="D28" s="172">
        <v>8.04220691748554</v>
      </c>
      <c r="E28" s="172">
        <v>30.735050039617988</v>
      </c>
      <c r="F28" s="163"/>
      <c r="G28" s="172">
        <v>5.431805063882728</v>
      </c>
      <c r="H28" s="172">
        <v>31.400291595558137</v>
      </c>
      <c r="I28" s="163"/>
      <c r="J28" s="172">
        <v>10.071976117946503</v>
      </c>
      <c r="K28" s="172">
        <v>36.85542887736389</v>
      </c>
      <c r="L28" s="163"/>
      <c r="M28" s="172">
        <v>6.121598913596977</v>
      </c>
      <c r="N28" s="172">
        <v>27.526002739952887</v>
      </c>
      <c r="O28" s="163"/>
      <c r="P28" s="172">
        <v>6.989965881896051</v>
      </c>
      <c r="Q28" s="172">
        <v>30.270705731724423</v>
      </c>
      <c r="S28" s="162"/>
      <c r="T28" s="170"/>
    </row>
    <row r="29" spans="2:20" ht="16.5" customHeight="1">
      <c r="B29" s="162" t="s">
        <v>44</v>
      </c>
      <c r="C29" s="147"/>
      <c r="D29" s="172">
        <v>1.6453917960016693</v>
      </c>
      <c r="E29" s="172">
        <v>15.672304847410501</v>
      </c>
      <c r="F29" s="163"/>
      <c r="G29" s="172">
        <v>2.0679887730718574</v>
      </c>
      <c r="H29" s="172">
        <v>18.23478688359658</v>
      </c>
      <c r="I29" s="163"/>
      <c r="J29" s="172">
        <v>3.6042566165284935</v>
      </c>
      <c r="K29" s="172">
        <v>21.543532690722014</v>
      </c>
      <c r="L29" s="163"/>
      <c r="M29" s="172">
        <v>5.409672995320709</v>
      </c>
      <c r="N29" s="172">
        <v>30.2090420629972</v>
      </c>
      <c r="O29" s="163"/>
      <c r="P29" s="172">
        <v>4.420368810089235</v>
      </c>
      <c r="Q29" s="172">
        <v>26.214712278820162</v>
      </c>
      <c r="S29" s="162"/>
      <c r="T29" s="170"/>
    </row>
    <row r="30" spans="2:20" ht="16.5" customHeight="1">
      <c r="B30" s="162" t="s">
        <v>45</v>
      </c>
      <c r="C30" s="147"/>
      <c r="D30" s="172">
        <v>2.449450930508551</v>
      </c>
      <c r="E30" s="172">
        <v>24.340587111631812</v>
      </c>
      <c r="F30" s="163"/>
      <c r="G30" s="172">
        <v>2.31867928988397</v>
      </c>
      <c r="H30" s="172">
        <v>19.309825085230955</v>
      </c>
      <c r="I30" s="163"/>
      <c r="J30" s="172">
        <v>1.9775018715603339</v>
      </c>
      <c r="K30" s="172">
        <v>12.509532577158073</v>
      </c>
      <c r="L30" s="163"/>
      <c r="M30" s="172">
        <v>2.50387648985493</v>
      </c>
      <c r="N30" s="172">
        <v>18.797209605898825</v>
      </c>
      <c r="O30" s="163"/>
      <c r="P30" s="172">
        <v>2.3710336301408037</v>
      </c>
      <c r="Q30" s="172">
        <v>18.78753899990102</v>
      </c>
      <c r="S30" s="162"/>
      <c r="T30" s="170"/>
    </row>
    <row r="31" spans="2:20" ht="16.5" customHeight="1">
      <c r="B31" s="162" t="s">
        <v>46</v>
      </c>
      <c r="C31" s="147"/>
      <c r="D31" s="172">
        <v>8.133305814483677</v>
      </c>
      <c r="E31" s="172">
        <v>31.236465058336023</v>
      </c>
      <c r="F31" s="163"/>
      <c r="G31" s="172">
        <v>4.936903614552557</v>
      </c>
      <c r="H31" s="172">
        <v>30.174367167107718</v>
      </c>
      <c r="I31" s="163"/>
      <c r="J31" s="172">
        <v>4.989165531403893</v>
      </c>
      <c r="K31" s="172">
        <v>30.856585640454</v>
      </c>
      <c r="L31" s="163"/>
      <c r="M31" s="172">
        <v>6.217977613210942</v>
      </c>
      <c r="N31" s="172">
        <v>31.076749980122216</v>
      </c>
      <c r="O31" s="163"/>
      <c r="P31" s="172">
        <v>6.066225359534895</v>
      </c>
      <c r="Q31" s="172">
        <v>30.923558886865425</v>
      </c>
      <c r="S31" s="162"/>
      <c r="T31" s="170"/>
    </row>
    <row r="32" spans="2:20" ht="16.5" customHeight="1">
      <c r="B32" s="162" t="s">
        <v>47</v>
      </c>
      <c r="C32" s="147"/>
      <c r="D32" s="172">
        <v>2.1418005999249305</v>
      </c>
      <c r="E32" s="172">
        <v>17.824198169333656</v>
      </c>
      <c r="F32" s="163"/>
      <c r="G32" s="172">
        <v>2.690142560975017</v>
      </c>
      <c r="H32" s="172">
        <v>21.394876035377806</v>
      </c>
      <c r="I32" s="163"/>
      <c r="J32" s="172">
        <v>7.95017682525674</v>
      </c>
      <c r="K32" s="172">
        <v>26.241604385522265</v>
      </c>
      <c r="L32" s="163"/>
      <c r="M32" s="172">
        <v>6.780657211608457</v>
      </c>
      <c r="N32" s="172">
        <v>28.609120397900995</v>
      </c>
      <c r="O32" s="163"/>
      <c r="P32" s="172">
        <v>6.223718917163845</v>
      </c>
      <c r="Q32" s="172">
        <v>26.630413315595053</v>
      </c>
      <c r="S32" s="162"/>
      <c r="T32" s="170"/>
    </row>
    <row r="33" spans="2:20" ht="16.5" customHeight="1">
      <c r="B33" s="162" t="s">
        <v>27</v>
      </c>
      <c r="C33" s="147"/>
      <c r="D33" s="172">
        <v>5.668416939118722</v>
      </c>
      <c r="E33" s="172">
        <v>31.545580759957982</v>
      </c>
      <c r="F33" s="163"/>
      <c r="G33" s="172">
        <v>7.1267717406304305</v>
      </c>
      <c r="H33" s="172">
        <v>35.70556904124012</v>
      </c>
      <c r="I33" s="163"/>
      <c r="J33" s="172">
        <v>6.121369398924163</v>
      </c>
      <c r="K33" s="172">
        <v>33.32963584819203</v>
      </c>
      <c r="L33" s="163"/>
      <c r="M33" s="172">
        <v>12.679106689403344</v>
      </c>
      <c r="N33" s="172">
        <v>40.906117779171765</v>
      </c>
      <c r="O33" s="163"/>
      <c r="P33" s="172">
        <v>8.786108730430021</v>
      </c>
      <c r="Q33" s="172">
        <v>36.458562622556805</v>
      </c>
      <c r="S33" s="162"/>
      <c r="T33" s="170"/>
    </row>
    <row r="34" spans="2:20" ht="16.5" customHeight="1">
      <c r="B34" s="162" t="s">
        <v>48</v>
      </c>
      <c r="C34" s="147"/>
      <c r="D34" s="172">
        <v>1.2500609966095328</v>
      </c>
      <c r="E34" s="172">
        <v>15.211872355664758</v>
      </c>
      <c r="F34" s="163"/>
      <c r="G34" s="172">
        <v>7.286113118668809</v>
      </c>
      <c r="H34" s="172">
        <v>29.156936476740235</v>
      </c>
      <c r="I34" s="163"/>
      <c r="J34" s="172">
        <v>3.4847700213356014</v>
      </c>
      <c r="K34" s="172">
        <v>29.392896732725326</v>
      </c>
      <c r="L34" s="163"/>
      <c r="M34" s="172">
        <v>7.8449781262617435</v>
      </c>
      <c r="N34" s="172">
        <v>37.954721122667536</v>
      </c>
      <c r="O34" s="163"/>
      <c r="P34" s="172">
        <v>5.52452047966605</v>
      </c>
      <c r="Q34" s="172">
        <v>30.118327133500483</v>
      </c>
      <c r="S34" s="162"/>
      <c r="T34" s="170"/>
    </row>
    <row r="35" spans="2:20" ht="16.5" customHeight="1">
      <c r="B35" s="162" t="s">
        <v>49</v>
      </c>
      <c r="C35" s="147"/>
      <c r="D35" s="172">
        <v>5.568940492615069</v>
      </c>
      <c r="E35" s="172">
        <v>28.572199327975973</v>
      </c>
      <c r="F35" s="163"/>
      <c r="G35" s="172">
        <v>6.794099747864091</v>
      </c>
      <c r="H35" s="172">
        <v>30.13392366621487</v>
      </c>
      <c r="I35" s="163"/>
      <c r="J35" s="172">
        <v>9.436887634313365</v>
      </c>
      <c r="K35" s="172">
        <v>32.75780270497591</v>
      </c>
      <c r="L35" s="163"/>
      <c r="M35" s="172">
        <v>9.272040880732204</v>
      </c>
      <c r="N35" s="172">
        <v>33.07838470900958</v>
      </c>
      <c r="O35" s="163"/>
      <c r="P35" s="172">
        <v>8.504758344932453</v>
      </c>
      <c r="Q35" s="172">
        <v>32.054882100852886</v>
      </c>
      <c r="S35" s="162"/>
      <c r="T35" s="170"/>
    </row>
    <row r="36" spans="2:20" ht="16.5" customHeight="1">
      <c r="B36" s="164" t="s">
        <v>50</v>
      </c>
      <c r="C36" s="147"/>
      <c r="D36" s="172">
        <v>2.558634264546394</v>
      </c>
      <c r="E36" s="172">
        <v>20.618042624614187</v>
      </c>
      <c r="F36" s="163"/>
      <c r="G36" s="172">
        <v>2.607370117614618</v>
      </c>
      <c r="H36" s="172">
        <v>22.660496819634844</v>
      </c>
      <c r="I36" s="163"/>
      <c r="J36" s="172">
        <v>5.949745994402134</v>
      </c>
      <c r="K36" s="172">
        <v>31.720601250701176</v>
      </c>
      <c r="L36" s="163"/>
      <c r="M36" s="172">
        <v>4.075002717624077</v>
      </c>
      <c r="N36" s="172">
        <v>26.256397324572873</v>
      </c>
      <c r="O36" s="163"/>
      <c r="P36" s="172">
        <v>4.089992541786727</v>
      </c>
      <c r="Q36" s="172">
        <v>26.225571881480104</v>
      </c>
      <c r="S36" s="164"/>
      <c r="T36" s="170"/>
    </row>
    <row r="37" spans="2:20" ht="16.5" customHeight="1">
      <c r="B37" s="162" t="s">
        <v>51</v>
      </c>
      <c r="C37" s="147"/>
      <c r="D37" s="172">
        <v>4.42644239766626</v>
      </c>
      <c r="E37" s="172">
        <v>27.520692348545705</v>
      </c>
      <c r="F37" s="163"/>
      <c r="G37" s="172">
        <v>6.38030382013227</v>
      </c>
      <c r="H37" s="172">
        <v>33.7322302130998</v>
      </c>
      <c r="I37" s="163"/>
      <c r="J37" s="172">
        <v>8.383432493207533</v>
      </c>
      <c r="K37" s="172">
        <v>32.09990692681465</v>
      </c>
      <c r="L37" s="163"/>
      <c r="M37" s="172">
        <v>13.573327290443373</v>
      </c>
      <c r="N37" s="172">
        <v>32.51416005315665</v>
      </c>
      <c r="O37" s="163"/>
      <c r="P37" s="172">
        <v>9.63535197094773</v>
      </c>
      <c r="Q37" s="172">
        <v>31.580407316602553</v>
      </c>
      <c r="S37" s="162"/>
      <c r="T37" s="170"/>
    </row>
    <row r="38" spans="2:20" ht="16.5" customHeight="1">
      <c r="B38" s="162" t="s">
        <v>52</v>
      </c>
      <c r="C38" s="147"/>
      <c r="D38" s="172">
        <v>3.8961765699717334</v>
      </c>
      <c r="E38" s="172">
        <v>21.371449828366053</v>
      </c>
      <c r="F38" s="163"/>
      <c r="G38" s="172">
        <v>1.32291040288635</v>
      </c>
      <c r="H38" s="172">
        <v>20.036079374624176</v>
      </c>
      <c r="I38" s="163"/>
      <c r="J38" s="172">
        <v>5.501322280894132</v>
      </c>
      <c r="K38" s="172">
        <v>25.825228666455324</v>
      </c>
      <c r="L38" s="163"/>
      <c r="M38" s="172">
        <v>4.604580253407989</v>
      </c>
      <c r="N38" s="172">
        <v>28.7312418731688</v>
      </c>
      <c r="O38" s="163"/>
      <c r="P38" s="172">
        <v>4.494521327211979</v>
      </c>
      <c r="Q38" s="172">
        <v>27.284847580123223</v>
      </c>
      <c r="S38" s="162"/>
      <c r="T38" s="170"/>
    </row>
    <row r="39" spans="2:20" ht="16.5" customHeight="1">
      <c r="B39" s="162" t="s">
        <v>53</v>
      </c>
      <c r="C39" s="147"/>
      <c r="D39" s="172">
        <v>2.2095847058068143</v>
      </c>
      <c r="E39" s="172">
        <v>18.018243649749863</v>
      </c>
      <c r="F39" s="163"/>
      <c r="G39" s="172">
        <v>3.8021240189014733</v>
      </c>
      <c r="H39" s="172">
        <v>25.733117542757434</v>
      </c>
      <c r="I39" s="163"/>
      <c r="J39" s="172">
        <v>8.048699180164528</v>
      </c>
      <c r="K39" s="172">
        <v>31.412338226370075</v>
      </c>
      <c r="L39" s="163"/>
      <c r="M39" s="172">
        <v>2.926711751177271</v>
      </c>
      <c r="N39" s="172">
        <v>23.592862737502916</v>
      </c>
      <c r="O39" s="163"/>
      <c r="P39" s="172">
        <v>3.477179645664826</v>
      </c>
      <c r="Q39" s="172">
        <v>23.84529934922332</v>
      </c>
      <c r="S39" s="162"/>
      <c r="T39" s="170"/>
    </row>
    <row r="40" spans="2:20" ht="16.5" customHeight="1">
      <c r="B40" s="165" t="s">
        <v>103</v>
      </c>
      <c r="C40" s="147"/>
      <c r="D40" s="172">
        <v>4.6543700367469185</v>
      </c>
      <c r="E40" s="172">
        <v>25.917640405906955</v>
      </c>
      <c r="F40" s="163"/>
      <c r="G40" s="172">
        <v>6.210495595299324</v>
      </c>
      <c r="H40" s="172">
        <v>28.74588941922804</v>
      </c>
      <c r="I40" s="163"/>
      <c r="J40" s="172">
        <v>6.606579554486862</v>
      </c>
      <c r="K40" s="172">
        <v>28.53268848803299</v>
      </c>
      <c r="L40" s="163"/>
      <c r="M40" s="172">
        <v>7.740547095440507</v>
      </c>
      <c r="N40" s="172">
        <v>30.090052586047594</v>
      </c>
      <c r="O40" s="163"/>
      <c r="P40" s="172">
        <v>6.848591286980928</v>
      </c>
      <c r="Q40" s="172">
        <v>28.982079084198364</v>
      </c>
      <c r="S40" s="165"/>
      <c r="T40" s="170"/>
    </row>
    <row r="41" spans="2:17" ht="10.5" customHeight="1">
      <c r="B41" s="165"/>
      <c r="C41" s="147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</row>
    <row r="42" spans="2:17" ht="21" customHeight="1">
      <c r="B42" s="167" t="s">
        <v>109</v>
      </c>
      <c r="C42" s="159" t="s">
        <v>238</v>
      </c>
      <c r="D42" s="168"/>
      <c r="E42" s="168"/>
      <c r="F42" s="168"/>
      <c r="G42" s="169"/>
      <c r="H42" s="169"/>
      <c r="I42" s="169"/>
      <c r="J42" s="169"/>
      <c r="K42" s="169"/>
      <c r="L42" s="170"/>
      <c r="M42" s="170"/>
      <c r="N42" s="170"/>
      <c r="O42" s="170"/>
      <c r="P42" s="170"/>
      <c r="Q42" s="170"/>
    </row>
    <row r="43" spans="2:17" ht="16.5" customHeight="1">
      <c r="B43" s="162"/>
      <c r="C43" s="147"/>
      <c r="D43" s="171"/>
      <c r="E43" s="171"/>
      <c r="F43" s="171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</row>
    <row r="44" spans="2:17" ht="19.5" customHeight="1">
      <c r="B44" s="162" t="s">
        <v>114</v>
      </c>
      <c r="C44" s="147"/>
      <c r="D44" s="163">
        <v>3.6958322680262308</v>
      </c>
      <c r="E44" s="163">
        <v>27.347873393602235</v>
      </c>
      <c r="F44" s="163"/>
      <c r="G44" s="163">
        <v>3.7711231939079837</v>
      </c>
      <c r="H44" s="163">
        <v>28.175980324798076</v>
      </c>
      <c r="I44" s="163"/>
      <c r="J44" s="163">
        <v>3.9122960361217927</v>
      </c>
      <c r="K44" s="163">
        <v>31.361848548824735</v>
      </c>
      <c r="L44" s="171"/>
      <c r="M44" s="171" t="s">
        <v>60</v>
      </c>
      <c r="N44" s="171" t="s">
        <v>60</v>
      </c>
      <c r="O44" s="171"/>
      <c r="P44" s="171" t="s">
        <v>60</v>
      </c>
      <c r="Q44" s="171" t="s">
        <v>60</v>
      </c>
    </row>
    <row r="45" spans="2:17" ht="19.5" customHeight="1">
      <c r="B45" s="162" t="s">
        <v>117</v>
      </c>
      <c r="C45" s="147"/>
      <c r="D45" s="163">
        <v>4.2</v>
      </c>
      <c r="E45" s="163">
        <v>28.6</v>
      </c>
      <c r="F45" s="163"/>
      <c r="G45" s="163">
        <v>4.3</v>
      </c>
      <c r="H45" s="163">
        <v>29</v>
      </c>
      <c r="I45" s="163"/>
      <c r="J45" s="163">
        <v>4.3</v>
      </c>
      <c r="K45" s="163">
        <v>32.3</v>
      </c>
      <c r="L45" s="171"/>
      <c r="M45" s="171" t="s">
        <v>60</v>
      </c>
      <c r="N45" s="171" t="s">
        <v>60</v>
      </c>
      <c r="O45" s="171"/>
      <c r="P45" s="171" t="s">
        <v>60</v>
      </c>
      <c r="Q45" s="171" t="s">
        <v>60</v>
      </c>
    </row>
    <row r="46" spans="2:17" ht="19.5" customHeight="1">
      <c r="B46" s="162" t="s">
        <v>123</v>
      </c>
      <c r="C46" s="147"/>
      <c r="D46" s="163">
        <v>4.743396028415189</v>
      </c>
      <c r="E46" s="163">
        <v>29.187441666368137</v>
      </c>
      <c r="F46" s="163"/>
      <c r="G46" s="163">
        <v>5.54</v>
      </c>
      <c r="H46" s="163">
        <v>34.23</v>
      </c>
      <c r="I46" s="163"/>
      <c r="J46" s="163">
        <v>5.25</v>
      </c>
      <c r="K46" s="163">
        <v>33.4</v>
      </c>
      <c r="L46" s="163"/>
      <c r="M46" s="171" t="s">
        <v>60</v>
      </c>
      <c r="N46" s="171" t="s">
        <v>60</v>
      </c>
      <c r="O46" s="163"/>
      <c r="P46" s="171" t="s">
        <v>60</v>
      </c>
      <c r="Q46" s="171" t="s">
        <v>60</v>
      </c>
    </row>
    <row r="47" spans="2:17" ht="19.5" customHeight="1">
      <c r="B47" s="162" t="s">
        <v>133</v>
      </c>
      <c r="C47" s="147"/>
      <c r="D47" s="163">
        <v>4.923864124717526</v>
      </c>
      <c r="E47" s="163">
        <v>28.49654999626058</v>
      </c>
      <c r="F47" s="163"/>
      <c r="G47" s="163">
        <v>5.452425744673191</v>
      </c>
      <c r="H47" s="163">
        <v>33.62567709878222</v>
      </c>
      <c r="I47" s="163"/>
      <c r="J47" s="163">
        <v>5.358673069698726</v>
      </c>
      <c r="K47" s="163">
        <v>32.7034943265887</v>
      </c>
      <c r="L47" s="163"/>
      <c r="M47" s="163">
        <v>7.174110057226804</v>
      </c>
      <c r="N47" s="163">
        <v>36.63351054032096</v>
      </c>
      <c r="O47" s="163"/>
      <c r="P47" s="163">
        <v>6.230116250396349</v>
      </c>
      <c r="Q47" s="163">
        <v>34.2318982602407</v>
      </c>
    </row>
    <row r="48" spans="2:17" ht="19.5" customHeight="1">
      <c r="B48" s="162" t="s">
        <v>139</v>
      </c>
      <c r="C48" s="147"/>
      <c r="D48" s="163">
        <v>5.635693229022834</v>
      </c>
      <c r="E48" s="163">
        <v>29.625451914682813</v>
      </c>
      <c r="F48" s="163"/>
      <c r="G48" s="163">
        <v>6.2234621661669065</v>
      </c>
      <c r="H48" s="163">
        <v>34.937388110670426</v>
      </c>
      <c r="I48" s="163"/>
      <c r="J48" s="163">
        <v>5.424377094141785</v>
      </c>
      <c r="K48" s="163">
        <v>33.19468006035336</v>
      </c>
      <c r="L48" s="163"/>
      <c r="M48" s="163">
        <v>8.44721661854727</v>
      </c>
      <c r="N48" s="163">
        <v>39.363907688396125</v>
      </c>
      <c r="O48" s="163"/>
      <c r="P48" s="163">
        <v>7.1</v>
      </c>
      <c r="Q48" s="163">
        <v>36.05</v>
      </c>
    </row>
    <row r="49" spans="2:17" ht="19.5" customHeight="1">
      <c r="B49" s="162" t="s">
        <v>146</v>
      </c>
      <c r="C49" s="147"/>
      <c r="D49" s="163">
        <v>6.074081221262234</v>
      </c>
      <c r="E49" s="163">
        <v>30.284670632909577</v>
      </c>
      <c r="F49" s="163"/>
      <c r="G49" s="163">
        <v>7.1870491178123705</v>
      </c>
      <c r="H49" s="163">
        <v>35.775825365671295</v>
      </c>
      <c r="I49" s="163"/>
      <c r="J49" s="163">
        <v>6.817524408026725</v>
      </c>
      <c r="K49" s="163">
        <v>34.953682696795575</v>
      </c>
      <c r="L49" s="163"/>
      <c r="M49" s="163">
        <v>10.224255524249138</v>
      </c>
      <c r="N49" s="163">
        <v>41.8753285041701</v>
      </c>
      <c r="O49" s="163"/>
      <c r="P49" s="163">
        <v>8.479197566449788</v>
      </c>
      <c r="Q49" s="163">
        <v>37.878218707640634</v>
      </c>
    </row>
    <row r="50" spans="2:17" ht="19.5" customHeight="1">
      <c r="B50" s="162" t="s">
        <v>151</v>
      </c>
      <c r="C50" s="147"/>
      <c r="D50" s="172">
        <v>6.057301905967269</v>
      </c>
      <c r="E50" s="172">
        <v>30.48062291105456</v>
      </c>
      <c r="F50" s="163"/>
      <c r="G50" s="172">
        <v>7.787967398797204</v>
      </c>
      <c r="H50" s="172">
        <v>36.26912573674284</v>
      </c>
      <c r="I50" s="163"/>
      <c r="J50" s="172">
        <v>7.726630482896262</v>
      </c>
      <c r="K50" s="172">
        <v>35.99031065040104</v>
      </c>
      <c r="L50" s="163"/>
      <c r="M50" s="163">
        <v>8.42</v>
      </c>
      <c r="N50" s="163">
        <v>38.38</v>
      </c>
      <c r="O50" s="163"/>
      <c r="P50" s="163">
        <v>7.85</v>
      </c>
      <c r="Q50" s="163">
        <v>36.44</v>
      </c>
    </row>
    <row r="51" spans="2:17" ht="19.5" customHeight="1">
      <c r="B51" s="162" t="s">
        <v>165</v>
      </c>
      <c r="C51" s="147"/>
      <c r="D51" s="172">
        <v>5.062479949448476</v>
      </c>
      <c r="E51" s="172">
        <v>24.37637642435292</v>
      </c>
      <c r="F51" s="163"/>
      <c r="G51" s="172">
        <v>6.625252503248279</v>
      </c>
      <c r="H51" s="172">
        <v>28.41304300976571</v>
      </c>
      <c r="I51" s="163"/>
      <c r="J51" s="172">
        <v>6.813941137391545</v>
      </c>
      <c r="K51" s="172">
        <v>28.029707143954806</v>
      </c>
      <c r="L51" s="163"/>
      <c r="M51" s="163">
        <v>8.688325824917442</v>
      </c>
      <c r="N51" s="163">
        <v>30.317370679449343</v>
      </c>
      <c r="O51" s="163"/>
      <c r="P51" s="163">
        <v>7.479747118042478</v>
      </c>
      <c r="Q51" s="163">
        <v>28.710696246718133</v>
      </c>
    </row>
    <row r="52" spans="2:17" ht="19.5" customHeight="1">
      <c r="B52" s="162" t="s">
        <v>187</v>
      </c>
      <c r="C52" s="147"/>
      <c r="D52" s="172">
        <v>4.528903231196125</v>
      </c>
      <c r="E52" s="172">
        <v>24.126104930755346</v>
      </c>
      <c r="F52" s="163"/>
      <c r="G52" s="172">
        <v>6.998246935510842</v>
      </c>
      <c r="H52" s="172">
        <v>28.171638815609263</v>
      </c>
      <c r="I52" s="163"/>
      <c r="J52" s="172">
        <v>8.364340700160797</v>
      </c>
      <c r="K52" s="172">
        <v>28.24492281845721</v>
      </c>
      <c r="L52" s="163"/>
      <c r="M52" s="163">
        <v>9.432802138177482</v>
      </c>
      <c r="N52" s="163">
        <v>30.009907296958087</v>
      </c>
      <c r="O52" s="163"/>
      <c r="P52" s="163">
        <v>8.146330594723803</v>
      </c>
      <c r="Q52" s="163">
        <v>28.523479873239957</v>
      </c>
    </row>
    <row r="53" spans="2:17" ht="19.5" customHeight="1">
      <c r="B53" s="162" t="s">
        <v>186</v>
      </c>
      <c r="C53" s="147"/>
      <c r="D53" s="172">
        <v>4.605461484425827</v>
      </c>
      <c r="E53" s="172">
        <v>24.422230204024395</v>
      </c>
      <c r="F53" s="163"/>
      <c r="G53" s="172">
        <v>7.202424945633585</v>
      </c>
      <c r="H53" s="172">
        <v>28.896903086993593</v>
      </c>
      <c r="I53" s="163"/>
      <c r="J53" s="172">
        <v>8.580293369117745</v>
      </c>
      <c r="K53" s="172">
        <v>28.76625258517705</v>
      </c>
      <c r="L53" s="163"/>
      <c r="M53" s="163">
        <v>9.011783431158559</v>
      </c>
      <c r="N53" s="163">
        <v>30.302318072517714</v>
      </c>
      <c r="O53" s="163"/>
      <c r="P53" s="163">
        <v>8.023123958886682</v>
      </c>
      <c r="Q53" s="163">
        <v>28.931499102864787</v>
      </c>
    </row>
    <row r="54" spans="2:17" ht="19.5" customHeight="1">
      <c r="B54" s="162" t="s">
        <v>209</v>
      </c>
      <c r="C54" s="147"/>
      <c r="D54" s="172">
        <v>4.13</v>
      </c>
      <c r="E54" s="172">
        <v>24.82</v>
      </c>
      <c r="F54" s="163"/>
      <c r="G54" s="172">
        <v>5.94</v>
      </c>
      <c r="H54" s="172">
        <v>28.86</v>
      </c>
      <c r="I54" s="163"/>
      <c r="J54" s="172">
        <v>6.25</v>
      </c>
      <c r="K54" s="172">
        <v>28.49</v>
      </c>
      <c r="L54" s="163"/>
      <c r="M54" s="163">
        <v>9.09</v>
      </c>
      <c r="N54" s="163">
        <v>31.04</v>
      </c>
      <c r="O54" s="163"/>
      <c r="P54" s="163">
        <v>7.34</v>
      </c>
      <c r="Q54" s="163">
        <v>29.31</v>
      </c>
    </row>
    <row r="55" spans="2:17" ht="19.5" customHeight="1">
      <c r="B55" s="162" t="s">
        <v>217</v>
      </c>
      <c r="C55" s="147"/>
      <c r="D55" s="172">
        <v>4.26</v>
      </c>
      <c r="E55" s="172">
        <v>25.28</v>
      </c>
      <c r="F55" s="163"/>
      <c r="G55" s="172">
        <v>6.03</v>
      </c>
      <c r="H55" s="172">
        <v>28.73</v>
      </c>
      <c r="I55" s="163"/>
      <c r="J55" s="172">
        <v>6.34</v>
      </c>
      <c r="K55" s="172">
        <v>28.24</v>
      </c>
      <c r="L55" s="163"/>
      <c r="M55" s="163">
        <v>8.73</v>
      </c>
      <c r="N55" s="163">
        <v>30.77</v>
      </c>
      <c r="O55" s="163"/>
      <c r="P55" s="163">
        <v>7.21</v>
      </c>
      <c r="Q55" s="163">
        <v>29.17</v>
      </c>
    </row>
    <row r="56" spans="2:17" ht="19.5" customHeight="1">
      <c r="B56" s="162" t="s">
        <v>219</v>
      </c>
      <c r="C56" s="147"/>
      <c r="D56" s="172">
        <v>4.43</v>
      </c>
      <c r="E56" s="172">
        <v>25.73</v>
      </c>
      <c r="F56" s="163"/>
      <c r="G56" s="172">
        <v>6.47</v>
      </c>
      <c r="H56" s="172">
        <v>29.43</v>
      </c>
      <c r="I56" s="163"/>
      <c r="J56" s="172">
        <v>6.91</v>
      </c>
      <c r="K56" s="172">
        <v>29.25</v>
      </c>
      <c r="L56" s="163"/>
      <c r="M56" s="163">
        <v>7.9</v>
      </c>
      <c r="N56" s="163">
        <v>31.09</v>
      </c>
      <c r="O56" s="163"/>
      <c r="P56" s="163">
        <v>6.99</v>
      </c>
      <c r="Q56" s="163">
        <v>29.7</v>
      </c>
    </row>
    <row r="57" spans="2:17" ht="19.5" customHeight="1">
      <c r="B57" s="162" t="s">
        <v>228</v>
      </c>
      <c r="C57" s="147"/>
      <c r="D57" s="172">
        <v>4.4</v>
      </c>
      <c r="E57" s="172">
        <v>25.62</v>
      </c>
      <c r="F57" s="163"/>
      <c r="G57" s="172">
        <v>6.45</v>
      </c>
      <c r="H57" s="172">
        <v>29.26</v>
      </c>
      <c r="I57" s="163"/>
      <c r="J57" s="172">
        <v>6.98</v>
      </c>
      <c r="K57" s="172">
        <v>29.27</v>
      </c>
      <c r="L57" s="163"/>
      <c r="M57" s="163">
        <v>7.65</v>
      </c>
      <c r="N57" s="163">
        <v>30.59</v>
      </c>
      <c r="O57" s="163"/>
      <c r="P57" s="163">
        <v>6.88</v>
      </c>
      <c r="Q57" s="163">
        <v>29.42</v>
      </c>
    </row>
    <row r="58" spans="2:17" ht="19.5" customHeight="1">
      <c r="B58" s="162" t="s">
        <v>237</v>
      </c>
      <c r="C58" s="147"/>
      <c r="D58" s="172">
        <v>4.6543700367469185</v>
      </c>
      <c r="E58" s="172">
        <v>25.917640405906955</v>
      </c>
      <c r="F58" s="163"/>
      <c r="G58" s="172">
        <v>6.210495595299324</v>
      </c>
      <c r="H58" s="172">
        <v>28.74588941922804</v>
      </c>
      <c r="I58" s="163"/>
      <c r="J58" s="172">
        <v>6.606579554486862</v>
      </c>
      <c r="K58" s="172">
        <v>28.53268848803299</v>
      </c>
      <c r="L58" s="163"/>
      <c r="M58" s="163">
        <v>7.740547095440507</v>
      </c>
      <c r="N58" s="163">
        <v>30.090052586047594</v>
      </c>
      <c r="O58" s="163"/>
      <c r="P58" s="163">
        <v>6.848591286980928</v>
      </c>
      <c r="Q58" s="163">
        <v>28.982079084198364</v>
      </c>
    </row>
    <row r="59" spans="2:17" ht="8.25" customHeight="1">
      <c r="B59" s="162"/>
      <c r="C59" s="147"/>
      <c r="D59" s="163"/>
      <c r="E59" s="163"/>
      <c r="F59" s="163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</row>
    <row r="60" spans="2:17" ht="22.5" customHeight="1">
      <c r="B60" s="167" t="s">
        <v>109</v>
      </c>
      <c r="C60" s="159" t="s">
        <v>188</v>
      </c>
      <c r="D60" s="173"/>
      <c r="E60" s="173"/>
      <c r="F60" s="173"/>
      <c r="G60" s="174"/>
      <c r="H60" s="174"/>
      <c r="I60" s="174"/>
      <c r="J60" s="174"/>
      <c r="K60" s="174"/>
      <c r="L60" s="170"/>
      <c r="M60" s="170"/>
      <c r="N60" s="170"/>
      <c r="O60" s="170"/>
      <c r="P60" s="170"/>
      <c r="Q60" s="170"/>
    </row>
    <row r="61" spans="2:17" ht="6" customHeight="1">
      <c r="B61" s="162"/>
      <c r="C61" s="147"/>
      <c r="D61" s="171"/>
      <c r="E61" s="171"/>
      <c r="F61" s="171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2:17" ht="23.25" customHeight="1">
      <c r="B62" s="162" t="s">
        <v>189</v>
      </c>
      <c r="C62" s="147"/>
      <c r="D62" s="171">
        <v>8.65</v>
      </c>
      <c r="E62" s="171">
        <v>37.38</v>
      </c>
      <c r="F62" s="171"/>
      <c r="G62" s="171" t="s">
        <v>60</v>
      </c>
      <c r="H62" s="171" t="s">
        <v>60</v>
      </c>
      <c r="I62" s="170"/>
      <c r="J62" s="171" t="s">
        <v>60</v>
      </c>
      <c r="K62" s="171" t="s">
        <v>60</v>
      </c>
      <c r="L62" s="170"/>
      <c r="M62" s="171" t="s">
        <v>60</v>
      </c>
      <c r="N62" s="171" t="s">
        <v>60</v>
      </c>
      <c r="O62" s="170"/>
      <c r="P62" s="163" t="s">
        <v>60</v>
      </c>
      <c r="Q62" s="163" t="s">
        <v>60</v>
      </c>
    </row>
    <row r="63" spans="2:17" ht="20.25">
      <c r="B63" s="162" t="s">
        <v>98</v>
      </c>
      <c r="C63" s="147"/>
      <c r="D63" s="171">
        <v>6.72</v>
      </c>
      <c r="E63" s="171">
        <v>33.24</v>
      </c>
      <c r="F63" s="171"/>
      <c r="G63" s="170">
        <v>11.58</v>
      </c>
      <c r="H63" s="170">
        <v>45.42</v>
      </c>
      <c r="I63" s="170"/>
      <c r="J63" s="170">
        <v>8.19</v>
      </c>
      <c r="K63" s="170">
        <v>36.57</v>
      </c>
      <c r="L63" s="170"/>
      <c r="M63" s="170">
        <v>17.57</v>
      </c>
      <c r="N63" s="170">
        <v>51.57</v>
      </c>
      <c r="O63" s="170"/>
      <c r="P63" s="170">
        <v>13.2</v>
      </c>
      <c r="Q63" s="170">
        <v>44.93</v>
      </c>
    </row>
    <row r="64" spans="2:17" ht="23.25">
      <c r="B64" s="162" t="s">
        <v>190</v>
      </c>
      <c r="C64" s="147"/>
      <c r="D64" s="171">
        <v>6.168810750121486</v>
      </c>
      <c r="E64" s="171">
        <v>30.514078154787647</v>
      </c>
      <c r="F64" s="171"/>
      <c r="G64" s="170">
        <v>10.161597771324372</v>
      </c>
      <c r="H64" s="170">
        <v>43.159700182346185</v>
      </c>
      <c r="I64" s="170"/>
      <c r="J64" s="170">
        <v>4.905875630317169</v>
      </c>
      <c r="K64" s="170">
        <v>30.967059339340523</v>
      </c>
      <c r="L64" s="170"/>
      <c r="M64" s="170">
        <v>15.220443272558459</v>
      </c>
      <c r="N64" s="170">
        <v>49.70577476700783</v>
      </c>
      <c r="O64" s="170"/>
      <c r="P64" s="170">
        <v>10.954556486710635</v>
      </c>
      <c r="Q64" s="170">
        <v>41.98094967211089</v>
      </c>
    </row>
    <row r="65" spans="2:17" ht="20.25">
      <c r="B65" s="162" t="s">
        <v>114</v>
      </c>
      <c r="C65" s="147"/>
      <c r="D65" s="171">
        <v>5.862348879964011</v>
      </c>
      <c r="E65" s="171">
        <v>31.05936472027306</v>
      </c>
      <c r="F65" s="171"/>
      <c r="G65" s="170">
        <v>8.521244854408186</v>
      </c>
      <c r="H65" s="170">
        <v>39.856305905759285</v>
      </c>
      <c r="I65" s="170"/>
      <c r="J65" s="170">
        <v>4.215685250825982</v>
      </c>
      <c r="K65" s="170">
        <v>28.701632470180453</v>
      </c>
      <c r="L65" s="170"/>
      <c r="M65" s="170">
        <v>14.485860591722147</v>
      </c>
      <c r="N65" s="170">
        <v>50.65020229637388</v>
      </c>
      <c r="O65" s="170"/>
      <c r="P65" s="170">
        <v>10.268609211242955</v>
      </c>
      <c r="Q65" s="170">
        <v>41.74871893977816</v>
      </c>
    </row>
    <row r="66" spans="2:17" ht="20.25">
      <c r="B66" s="162" t="s">
        <v>117</v>
      </c>
      <c r="C66" s="147"/>
      <c r="D66" s="171">
        <v>6.368282806375591</v>
      </c>
      <c r="E66" s="171">
        <v>33.75777475458491</v>
      </c>
      <c r="F66" s="171"/>
      <c r="G66" s="170">
        <v>11.309212263808433</v>
      </c>
      <c r="H66" s="170">
        <v>35.344544234257555</v>
      </c>
      <c r="I66" s="170" t="s">
        <v>116</v>
      </c>
      <c r="J66" s="170">
        <v>5.490737963217009</v>
      </c>
      <c r="K66" s="170">
        <v>28.85249815445113</v>
      </c>
      <c r="L66" s="170"/>
      <c r="M66" s="170">
        <v>18.452500255371962</v>
      </c>
      <c r="N66" s="170">
        <v>56.65323406720138</v>
      </c>
      <c r="O66" s="170"/>
      <c r="P66" s="170">
        <v>12.936862050859943</v>
      </c>
      <c r="Q66" s="170">
        <v>47.42982213004355</v>
      </c>
    </row>
    <row r="67" spans="2:17" ht="20.25">
      <c r="B67" s="162" t="s">
        <v>123</v>
      </c>
      <c r="C67" s="147"/>
      <c r="D67" s="163">
        <v>6</v>
      </c>
      <c r="E67" s="163">
        <v>34</v>
      </c>
      <c r="F67" s="163"/>
      <c r="G67" s="175">
        <v>10</v>
      </c>
      <c r="H67" s="175">
        <v>46</v>
      </c>
      <c r="I67" s="175"/>
      <c r="J67" s="175">
        <v>6</v>
      </c>
      <c r="K67" s="175">
        <v>36</v>
      </c>
      <c r="L67" s="175"/>
      <c r="M67" s="175">
        <v>16</v>
      </c>
      <c r="N67" s="175">
        <v>53</v>
      </c>
      <c r="O67" s="175"/>
      <c r="P67" s="175">
        <v>12</v>
      </c>
      <c r="Q67" s="175">
        <v>46</v>
      </c>
    </row>
    <row r="68" spans="1:17" ht="8.25" customHeight="1" thickBot="1">
      <c r="A68" s="136"/>
      <c r="B68" s="137"/>
      <c r="C68" s="136"/>
      <c r="D68" s="58"/>
      <c r="E68" s="58"/>
      <c r="F68" s="58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17" ht="15.75" customHeight="1">
      <c r="A69" s="135"/>
      <c r="B69" s="220" t="s">
        <v>126</v>
      </c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2:17" ht="22.5" customHeight="1">
      <c r="B70" s="177" t="s">
        <v>104</v>
      </c>
      <c r="C70" s="219" t="s">
        <v>224</v>
      </c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</row>
    <row r="71" spans="2:17" ht="16.5">
      <c r="B71" s="177" t="s">
        <v>106</v>
      </c>
      <c r="C71" s="219" t="s">
        <v>225</v>
      </c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</row>
    <row r="72" spans="2:17" ht="16.5">
      <c r="B72" s="176"/>
      <c r="C72" s="219" t="s">
        <v>226</v>
      </c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2:17" ht="16.5">
      <c r="B73" s="176"/>
      <c r="C73" s="219" t="s">
        <v>221</v>
      </c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</row>
    <row r="74" spans="2:17" ht="16.5">
      <c r="B74" s="178"/>
      <c r="C74" s="219" t="s">
        <v>222</v>
      </c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</row>
    <row r="75" spans="2:17" ht="16.5">
      <c r="B75" s="177" t="s">
        <v>118</v>
      </c>
      <c r="C75" s="219" t="s">
        <v>204</v>
      </c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</row>
    <row r="76" spans="2:17" ht="16.5">
      <c r="B76" s="178"/>
      <c r="C76" s="219" t="s">
        <v>223</v>
      </c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</row>
    <row r="77" spans="2:17" ht="16.5">
      <c r="B77" s="176"/>
      <c r="C77" s="219" t="s">
        <v>131</v>
      </c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</row>
    <row r="78" spans="2:17" ht="16.5">
      <c r="B78" s="177" t="s">
        <v>120</v>
      </c>
      <c r="C78" s="219" t="s">
        <v>205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</row>
    <row r="79" spans="2:17" ht="16.5">
      <c r="B79" s="176" t="s">
        <v>134</v>
      </c>
      <c r="C79" s="219" t="s">
        <v>227</v>
      </c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</row>
    <row r="80" spans="2:3" ht="16.5">
      <c r="B80" s="176"/>
      <c r="C80" s="176"/>
    </row>
  </sheetData>
  <sheetProtection/>
  <mergeCells count="11">
    <mergeCell ref="C79:Q79"/>
    <mergeCell ref="C70:Q70"/>
    <mergeCell ref="C71:Q71"/>
    <mergeCell ref="C72:Q72"/>
    <mergeCell ref="C73:Q73"/>
    <mergeCell ref="C74:Q74"/>
    <mergeCell ref="B69:Q69"/>
    <mergeCell ref="C75:Q75"/>
    <mergeCell ref="C76:Q76"/>
    <mergeCell ref="C77:Q77"/>
    <mergeCell ref="C78:Q7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road lengths by class etc</dc:title>
  <dc:subject/>
  <dc:creator>Frank Dixon</dc:creator>
  <cp:keywords/>
  <dc:description/>
  <cp:lastModifiedBy>u016789</cp:lastModifiedBy>
  <cp:lastPrinted>2019-12-05T13:38:52Z</cp:lastPrinted>
  <dcterms:created xsi:type="dcterms:W3CDTF">1998-12-23T10:42:03Z</dcterms:created>
  <dcterms:modified xsi:type="dcterms:W3CDTF">2021-02-25T08:10:07Z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A27427251</vt:lpwstr>
  </property>
  <property fmtid="{D5CDD505-2E9C-101B-9397-08002B2CF9AE}" pid="3" name="Objective-Comment">
    <vt:lpwstr/>
  </property>
  <property fmtid="{D5CDD505-2E9C-101B-9397-08002B2CF9AE}" pid="4" name="Objective-CreationStamp">
    <vt:filetime>2020-03-10T11:19:55Z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2021-02-24T15:26:38Z</vt:filetime>
  </property>
  <property fmtid="{D5CDD505-2E9C-101B-9397-08002B2CF9AE}" pid="8" name="Objective-ModificationStamp">
    <vt:filetime>2021-02-24T15:26:38Z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Scotland: Scottish Transport Statistics: 2020: Research and analysis: Transport: 2019-2024:</vt:lpwstr>
  </property>
  <property fmtid="{D5CDD505-2E9C-101B-9397-08002B2CF9AE}" pid="11" name="Objective-Parent">
    <vt:lpwstr>Transport Scotland: Scottish Transport Statistics: 2020: Research and analysis: Transport: 2019-2024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chapter04 - road network</vt:lpwstr>
  </property>
  <property fmtid="{D5CDD505-2E9C-101B-9397-08002B2CF9AE}" pid="14" name="Objective-Version">
    <vt:lpwstr>16.0</vt:lpwstr>
  </property>
  <property fmtid="{D5CDD505-2E9C-101B-9397-08002B2CF9AE}" pid="15" name="Objective-VersionComment">
    <vt:lpwstr/>
  </property>
  <property fmtid="{D5CDD505-2E9C-101B-9397-08002B2CF9AE}" pid="16" name="Objective-VersionNumber">
    <vt:r8>16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  <property fmtid="{D5CDD505-2E9C-101B-9397-08002B2CF9AE}" pid="25" name="Objective-Date of Original">
    <vt:lpwstr/>
  </property>
  <property fmtid="{D5CDD505-2E9C-101B-9397-08002B2CF9AE}" pid="26" name="Objective-Date Received">
    <vt:lpwstr/>
  </property>
  <property fmtid="{D5CDD505-2E9C-101B-9397-08002B2CF9AE}" pid="27" name="Objective-SG Web Publication - Category">
    <vt:lpwstr/>
  </property>
  <property fmtid="{D5CDD505-2E9C-101B-9397-08002B2CF9AE}" pid="28" name="Objective-SG Web Publication - Category 2 Classification">
    <vt:lpwstr/>
  </property>
  <property fmtid="{D5CDD505-2E9C-101B-9397-08002B2CF9AE}" pid="29" name="Objective-Connect Creator">
    <vt:lpwstr/>
  </property>
  <property fmtid="{D5CDD505-2E9C-101B-9397-08002B2CF9AE}" pid="30" name="Objective-Required Redaction">
    <vt:lpwstr/>
  </property>
</Properties>
</file>